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DOCUMENT\MMBB\ISSUE\"/>
    </mc:Choice>
  </mc:AlternateContent>
  <xr:revisionPtr revIDLastSave="0" documentId="13_ncr:1_{AFE3B218-EEB7-477F-A8B1-9603B74707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puts" sheetId="1" r:id="rId1"/>
    <sheet name="Level Debt" sheetId="2" r:id="rId2"/>
    <sheet name="Level Principal" sheetId="3" r:id="rId3"/>
    <sheet name="Calculations" sheetId="4" state="hidden" r:id="rId4"/>
  </sheets>
  <definedNames>
    <definedName name="DatedDate">Calculations!$B$3</definedName>
    <definedName name="FirstCoupon">Calculations!$B$4</definedName>
    <definedName name="FirstMaturity">Calculations!$B$5</definedName>
    <definedName name="Issue">Inputs!$D$17</definedName>
    <definedName name="LastMaturity">Calculations!$B$6</definedName>
    <definedName name="LevelPrincipal">Calculations!$B$41</definedName>
    <definedName name="LevelPrincipalAdj">Calculations!$B$42</definedName>
    <definedName name="NoYears">Inputs!$D$15</definedName>
    <definedName name="ParAmount">Inputs!$D$13</definedName>
    <definedName name="_xlnm.Print_Area" localSheetId="1">'Level Debt'!$A$1:$G$74</definedName>
    <definedName name="_xlnm.Print_Area" localSheetId="2">'Level Principal'!$A$1:$G$74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70" i="4" l="1"/>
  <c r="AA68" i="4"/>
  <c r="AA66" i="4"/>
  <c r="AA64" i="4"/>
  <c r="AA62" i="4"/>
  <c r="AA60" i="4"/>
  <c r="AA58" i="4"/>
  <c r="AA56" i="4"/>
  <c r="AA54" i="4"/>
  <c r="AA52" i="4"/>
  <c r="AA50" i="4"/>
  <c r="AA48" i="4"/>
  <c r="AA46" i="4"/>
  <c r="AA44" i="4"/>
  <c r="AA42" i="4"/>
  <c r="AA40" i="4"/>
  <c r="AA38" i="4"/>
  <c r="AA36" i="4"/>
  <c r="AA34" i="4"/>
  <c r="AA32" i="4"/>
  <c r="AA30" i="4"/>
  <c r="AA28" i="4"/>
  <c r="AA26" i="4"/>
  <c r="AA24" i="4"/>
  <c r="AA22" i="4"/>
  <c r="AA20" i="4"/>
  <c r="AA18" i="4"/>
  <c r="AA16" i="4"/>
  <c r="AA14" i="4"/>
  <c r="AA12" i="4"/>
  <c r="T70" i="4"/>
  <c r="T68" i="4"/>
  <c r="T66" i="4"/>
  <c r="T64" i="4"/>
  <c r="T62" i="4"/>
  <c r="T60" i="4"/>
  <c r="T58" i="4"/>
  <c r="T56" i="4"/>
  <c r="T54" i="4"/>
  <c r="T52" i="4"/>
  <c r="T50" i="4"/>
  <c r="T48" i="4"/>
  <c r="T46" i="4"/>
  <c r="T44" i="4"/>
  <c r="T42" i="4"/>
  <c r="T40" i="4"/>
  <c r="T38" i="4"/>
  <c r="T36" i="4"/>
  <c r="T34" i="4"/>
  <c r="T32" i="4"/>
  <c r="T30" i="4"/>
  <c r="T28" i="4"/>
  <c r="T26" i="4"/>
  <c r="T24" i="4"/>
  <c r="T22" i="4"/>
  <c r="T20" i="4"/>
  <c r="T18" i="4"/>
  <c r="T16" i="4"/>
  <c r="T14" i="4"/>
  <c r="T12" i="4"/>
  <c r="G46" i="4" l="1"/>
  <c r="D39" i="4"/>
  <c r="L39" i="4" s="1"/>
  <c r="D38" i="4"/>
  <c r="L38" i="4" s="1"/>
  <c r="D37" i="4"/>
  <c r="L37" i="4" s="1"/>
  <c r="D36" i="4"/>
  <c r="L36" i="4" s="1"/>
  <c r="D35" i="4"/>
  <c r="L35" i="4" s="1"/>
  <c r="D34" i="4"/>
  <c r="L34" i="4" s="1"/>
  <c r="D33" i="4"/>
  <c r="L33" i="4" s="1"/>
  <c r="D32" i="4"/>
  <c r="L32" i="4" s="1"/>
  <c r="D31" i="4"/>
  <c r="L31" i="4" s="1"/>
  <c r="D30" i="4"/>
  <c r="L30" i="4" s="1"/>
  <c r="D29" i="4"/>
  <c r="L29" i="4" s="1"/>
  <c r="D28" i="4"/>
  <c r="L28" i="4" s="1"/>
  <c r="D27" i="4"/>
  <c r="L27" i="4" s="1"/>
  <c r="D26" i="4"/>
  <c r="L26" i="4" s="1"/>
  <c r="D25" i="4"/>
  <c r="L25" i="4" s="1"/>
  <c r="D24" i="4"/>
  <c r="L24" i="4" s="1"/>
  <c r="D23" i="4"/>
  <c r="L23" i="4" s="1"/>
  <c r="D22" i="4"/>
  <c r="L22" i="4" s="1"/>
  <c r="D21" i="4"/>
  <c r="L21" i="4" s="1"/>
  <c r="D20" i="4"/>
  <c r="L20" i="4" s="1"/>
  <c r="D19" i="4"/>
  <c r="L19" i="4" s="1"/>
  <c r="D18" i="4"/>
  <c r="L18" i="4" s="1"/>
  <c r="D17" i="4"/>
  <c r="L17" i="4" s="1"/>
  <c r="D16" i="4"/>
  <c r="L16" i="4" s="1"/>
  <c r="D15" i="4"/>
  <c r="L15" i="4" s="1"/>
  <c r="D14" i="4"/>
  <c r="L14" i="4" s="1"/>
  <c r="D13" i="4"/>
  <c r="L13" i="4" s="1"/>
  <c r="D12" i="4"/>
  <c r="L12" i="4" s="1"/>
  <c r="D11" i="4"/>
  <c r="L11" i="4" s="1"/>
  <c r="B3" i="4"/>
  <c r="D10" i="4"/>
  <c r="L10" i="4" s="1"/>
  <c r="A4" i="2"/>
  <c r="A4" i="3"/>
  <c r="B41" i="4"/>
  <c r="B42" i="4" s="1"/>
  <c r="A10" i="3"/>
  <c r="A5" i="3"/>
  <c r="A5" i="2"/>
  <c r="B4" i="4" l="1"/>
  <c r="R10" i="4" l="1"/>
  <c r="Y10" i="4"/>
  <c r="B5" i="4"/>
  <c r="Y12" i="4" s="1"/>
  <c r="Y13" i="4" s="1"/>
  <c r="Y14" i="4" s="1"/>
  <c r="Y15" i="4" s="1"/>
  <c r="Y16" i="4" s="1"/>
  <c r="Y17" i="4" s="1"/>
  <c r="Y18" i="4" s="1"/>
  <c r="Y19" i="4" s="1"/>
  <c r="Y20" i="4" s="1"/>
  <c r="Y21" i="4" s="1"/>
  <c r="Y22" i="4" s="1"/>
  <c r="Y23" i="4" s="1"/>
  <c r="Y24" i="4" s="1"/>
  <c r="Y25" i="4" s="1"/>
  <c r="Y26" i="4" s="1"/>
  <c r="Y27" i="4" s="1"/>
  <c r="Y28" i="4" s="1"/>
  <c r="Y29" i="4" s="1"/>
  <c r="Y30" i="4" s="1"/>
  <c r="Y31" i="4" s="1"/>
  <c r="Y32" i="4" s="1"/>
  <c r="Y33" i="4" s="1"/>
  <c r="Y34" i="4" s="1"/>
  <c r="Y35" i="4" s="1"/>
  <c r="Y36" i="4" s="1"/>
  <c r="Y37" i="4" s="1"/>
  <c r="Y38" i="4" s="1"/>
  <c r="Y39" i="4" s="1"/>
  <c r="Y40" i="4" s="1"/>
  <c r="Y41" i="4" s="1"/>
  <c r="Y42" i="4" s="1"/>
  <c r="Y43" i="4" s="1"/>
  <c r="Y44" i="4" s="1"/>
  <c r="Y45" i="4" s="1"/>
  <c r="Y46" i="4" s="1"/>
  <c r="Y47" i="4" s="1"/>
  <c r="Y48" i="4" s="1"/>
  <c r="Y49" i="4" s="1"/>
  <c r="Y50" i="4" s="1"/>
  <c r="Y51" i="4" s="1"/>
  <c r="Y52" i="4" s="1"/>
  <c r="Y53" i="4" s="1"/>
  <c r="Y54" i="4" s="1"/>
  <c r="Y55" i="4" s="1"/>
  <c r="Y56" i="4" s="1"/>
  <c r="Y57" i="4" s="1"/>
  <c r="Y58" i="4" s="1"/>
  <c r="Y59" i="4" s="1"/>
  <c r="Y60" i="4" s="1"/>
  <c r="Y61" i="4" s="1"/>
  <c r="Y62" i="4" s="1"/>
  <c r="Y63" i="4" s="1"/>
  <c r="Y64" i="4" s="1"/>
  <c r="Y65" i="4" s="1"/>
  <c r="Y66" i="4" s="1"/>
  <c r="Y67" i="4" s="1"/>
  <c r="Y68" i="4" s="1"/>
  <c r="Y69" i="4" s="1"/>
  <c r="Y70" i="4" s="1"/>
  <c r="R11" i="4" l="1"/>
  <c r="Y11" i="4"/>
  <c r="B6" i="4"/>
  <c r="A10" i="2" s="1"/>
  <c r="B10" i="2" s="1"/>
  <c r="R12" i="4"/>
  <c r="R13" i="4" s="1"/>
  <c r="R14" i="4" s="1"/>
  <c r="R15" i="4" s="1"/>
  <c r="R16" i="4" s="1"/>
  <c r="R17" i="4" s="1"/>
  <c r="R18" i="4" s="1"/>
  <c r="R19" i="4" s="1"/>
  <c r="R20" i="4" s="1"/>
  <c r="R21" i="4" s="1"/>
  <c r="R22" i="4" s="1"/>
  <c r="R23" i="4" s="1"/>
  <c r="R24" i="4" s="1"/>
  <c r="R25" i="4" s="1"/>
  <c r="R26" i="4" s="1"/>
  <c r="R27" i="4" s="1"/>
  <c r="R28" i="4" s="1"/>
  <c r="R29" i="4" s="1"/>
  <c r="R30" i="4" s="1"/>
  <c r="R31" i="4" s="1"/>
  <c r="R32" i="4" s="1"/>
  <c r="R33" i="4" s="1"/>
  <c r="R34" i="4" s="1"/>
  <c r="R35" i="4" s="1"/>
  <c r="R36" i="4" s="1"/>
  <c r="R37" i="4" s="1"/>
  <c r="R38" i="4" s="1"/>
  <c r="R39" i="4" s="1"/>
  <c r="R40" i="4" s="1"/>
  <c r="R41" i="4" s="1"/>
  <c r="R42" i="4" s="1"/>
  <c r="R43" i="4" s="1"/>
  <c r="R44" i="4" s="1"/>
  <c r="R45" i="4" s="1"/>
  <c r="R46" i="4" s="1"/>
  <c r="R47" i="4" s="1"/>
  <c r="R48" i="4" s="1"/>
  <c r="R49" i="4" s="1"/>
  <c r="R50" i="4" s="1"/>
  <c r="R51" i="4" s="1"/>
  <c r="R52" i="4" s="1"/>
  <c r="R53" i="4" s="1"/>
  <c r="R54" i="4" s="1"/>
  <c r="R55" i="4" s="1"/>
  <c r="R56" i="4" s="1"/>
  <c r="R57" i="4" s="1"/>
  <c r="R58" i="4" s="1"/>
  <c r="R59" i="4" s="1"/>
  <c r="R60" i="4" s="1"/>
  <c r="R61" i="4" s="1"/>
  <c r="R62" i="4" s="1"/>
  <c r="R63" i="4" s="1"/>
  <c r="R64" i="4" s="1"/>
  <c r="R65" i="4" s="1"/>
  <c r="R66" i="4" s="1"/>
  <c r="R67" i="4" s="1"/>
  <c r="R68" i="4" s="1"/>
  <c r="R69" i="4" s="1"/>
  <c r="R70" i="4" s="1"/>
  <c r="B10" i="3"/>
  <c r="A11" i="3" l="1"/>
  <c r="A11" i="2"/>
  <c r="A12" i="3" l="1"/>
  <c r="Z12" i="4" s="1"/>
  <c r="B11" i="3"/>
  <c r="B11" i="2"/>
  <c r="A12" i="2"/>
  <c r="B12" i="2" s="1"/>
  <c r="A13" i="3" l="1"/>
  <c r="B13" i="3" s="1"/>
  <c r="D12" i="3"/>
  <c r="B12" i="3"/>
  <c r="A13" i="2"/>
  <c r="A14" i="2" s="1"/>
  <c r="B14" i="2" s="1"/>
  <c r="D12" i="2"/>
  <c r="C12" i="3"/>
  <c r="A14" i="3" l="1"/>
  <c r="A15" i="3" s="1"/>
  <c r="A15" i="2"/>
  <c r="A16" i="2" s="1"/>
  <c r="D16" i="2" s="1"/>
  <c r="B13" i="2"/>
  <c r="D14" i="2"/>
  <c r="Z14" i="4" l="1"/>
  <c r="C14" i="3" s="1"/>
  <c r="B14" i="3"/>
  <c r="D14" i="3"/>
  <c r="B16" i="2"/>
  <c r="B15" i="2"/>
  <c r="A17" i="2"/>
  <c r="A18" i="2" s="1"/>
  <c r="A16" i="3"/>
  <c r="B15" i="3"/>
  <c r="Z16" i="4" l="1"/>
  <c r="C16" i="3" s="1"/>
  <c r="B17" i="2"/>
  <c r="B16" i="3"/>
  <c r="D16" i="3"/>
  <c r="A19" i="2"/>
  <c r="A17" i="3"/>
  <c r="D18" i="2"/>
  <c r="B18" i="2"/>
  <c r="B19" i="2" l="1"/>
  <c r="A18" i="3"/>
  <c r="B17" i="3"/>
  <c r="A20" i="2"/>
  <c r="Z18" i="4" l="1"/>
  <c r="D18" i="3"/>
  <c r="B18" i="3"/>
  <c r="B20" i="2"/>
  <c r="D20" i="2"/>
  <c r="A19" i="3"/>
  <c r="A21" i="2"/>
  <c r="A22" i="2" l="1"/>
  <c r="B21" i="2"/>
  <c r="A20" i="3"/>
  <c r="B19" i="3"/>
  <c r="C18" i="3"/>
  <c r="Z20" i="4" l="1"/>
  <c r="A21" i="3"/>
  <c r="A23" i="2"/>
  <c r="D22" i="2"/>
  <c r="B22" i="2"/>
  <c r="D20" i="3"/>
  <c r="B20" i="3"/>
  <c r="A24" i="2" l="1"/>
  <c r="B23" i="2"/>
  <c r="C20" i="3"/>
  <c r="A22" i="3"/>
  <c r="B21" i="3"/>
  <c r="Z22" i="4" l="1"/>
  <c r="D22" i="3"/>
  <c r="B22" i="3"/>
  <c r="A25" i="2"/>
  <c r="A23" i="3"/>
  <c r="B24" i="2"/>
  <c r="D24" i="2"/>
  <c r="B25" i="2" l="1"/>
  <c r="C22" i="3"/>
  <c r="A24" i="3"/>
  <c r="B23" i="3"/>
  <c r="A26" i="2"/>
  <c r="Z24" i="4" l="1"/>
  <c r="A25" i="3"/>
  <c r="A27" i="2"/>
  <c r="D24" i="3"/>
  <c r="B24" i="3"/>
  <c r="B26" i="2"/>
  <c r="D26" i="2"/>
  <c r="A28" i="2" l="1"/>
  <c r="B27" i="2"/>
  <c r="A26" i="3"/>
  <c r="C24" i="3"/>
  <c r="B25" i="3"/>
  <c r="Z26" i="4" l="1"/>
  <c r="A27" i="3"/>
  <c r="B26" i="3"/>
  <c r="D26" i="3"/>
  <c r="A29" i="2"/>
  <c r="D28" i="2"/>
  <c r="B28" i="2"/>
  <c r="B29" i="2" l="1"/>
  <c r="C26" i="3"/>
  <c r="A30" i="2"/>
  <c r="A28" i="3"/>
  <c r="B27" i="3"/>
  <c r="Z28" i="4" l="1"/>
  <c r="C28" i="3" s="1"/>
  <c r="A31" i="2"/>
  <c r="B30" i="2"/>
  <c r="D30" i="2"/>
  <c r="B28" i="3"/>
  <c r="D28" i="3"/>
  <c r="A29" i="3"/>
  <c r="A30" i="3" l="1"/>
  <c r="B29" i="3"/>
  <c r="A32" i="2"/>
  <c r="B31" i="2"/>
  <c r="Z30" i="4" l="1"/>
  <c r="C30" i="3" s="1"/>
  <c r="A33" i="2"/>
  <c r="B32" i="2"/>
  <c r="D32" i="2"/>
  <c r="A31" i="3"/>
  <c r="B30" i="3"/>
  <c r="D30" i="3"/>
  <c r="A34" i="2" l="1"/>
  <c r="B31" i="3"/>
  <c r="A32" i="3"/>
  <c r="B33" i="2"/>
  <c r="Z32" i="4" l="1"/>
  <c r="D32" i="3"/>
  <c r="B32" i="3"/>
  <c r="A35" i="2"/>
  <c r="A33" i="3"/>
  <c r="B34" i="2"/>
  <c r="D34" i="2"/>
  <c r="B35" i="2" l="1"/>
  <c r="C32" i="3"/>
  <c r="A34" i="3"/>
  <c r="A36" i="2"/>
  <c r="B33" i="3"/>
  <c r="Z34" i="4" l="1"/>
  <c r="B36" i="2"/>
  <c r="D36" i="2"/>
  <c r="B34" i="3"/>
  <c r="D34" i="3"/>
  <c r="A35" i="3"/>
  <c r="A37" i="2"/>
  <c r="B37" i="2" l="1"/>
  <c r="A38" i="2"/>
  <c r="C34" i="3"/>
  <c r="A36" i="3"/>
  <c r="B35" i="3"/>
  <c r="Z36" i="4" l="1"/>
  <c r="C36" i="3" s="1"/>
  <c r="D36" i="3"/>
  <c r="B36" i="3"/>
  <c r="A39" i="2"/>
  <c r="B38" i="2"/>
  <c r="D38" i="2"/>
  <c r="A37" i="3"/>
  <c r="A38" i="3" l="1"/>
  <c r="B39" i="2"/>
  <c r="A40" i="2"/>
  <c r="B37" i="3"/>
  <c r="Z38" i="4" l="1"/>
  <c r="C38" i="3" s="1"/>
  <c r="A41" i="2"/>
  <c r="B40" i="2"/>
  <c r="D40" i="2"/>
  <c r="A39" i="3"/>
  <c r="B38" i="3"/>
  <c r="D38" i="3"/>
  <c r="B39" i="3" l="1"/>
  <c r="A42" i="2"/>
  <c r="A40" i="3"/>
  <c r="B41" i="2"/>
  <c r="Z40" i="4" l="1"/>
  <c r="C40" i="3" s="1"/>
  <c r="A43" i="2"/>
  <c r="B42" i="2"/>
  <c r="D42" i="2"/>
  <c r="B40" i="3"/>
  <c r="D40" i="3"/>
  <c r="A41" i="3"/>
  <c r="A42" i="3" l="1"/>
  <c r="B41" i="3"/>
  <c r="A44" i="2"/>
  <c r="B43" i="2"/>
  <c r="Z42" i="4" l="1"/>
  <c r="C42" i="3" s="1"/>
  <c r="D44" i="2"/>
  <c r="B44" i="2"/>
  <c r="A43" i="3"/>
  <c r="B42" i="3"/>
  <c r="D42" i="3"/>
  <c r="A45" i="2"/>
  <c r="B43" i="3" l="1"/>
  <c r="A44" i="3"/>
  <c r="A46" i="2"/>
  <c r="B45" i="2"/>
  <c r="Z44" i="4" l="1"/>
  <c r="C44" i="3" s="1"/>
  <c r="A45" i="3"/>
  <c r="B44" i="3"/>
  <c r="D44" i="3"/>
  <c r="A47" i="2"/>
  <c r="B46" i="2"/>
  <c r="D46" i="2"/>
  <c r="B47" i="2" l="1"/>
  <c r="A46" i="3"/>
  <c r="B45" i="3"/>
  <c r="A48" i="2"/>
  <c r="Z46" i="4" l="1"/>
  <c r="C46" i="3" s="1"/>
  <c r="A47" i="3"/>
  <c r="B46" i="3"/>
  <c r="D46" i="3"/>
  <c r="A49" i="2"/>
  <c r="B48" i="2"/>
  <c r="D48" i="2"/>
  <c r="B49" i="2" l="1"/>
  <c r="A48" i="3"/>
  <c r="A50" i="2"/>
  <c r="B47" i="3"/>
  <c r="Z48" i="4" l="1"/>
  <c r="C48" i="3" s="1"/>
  <c r="B48" i="3"/>
  <c r="D48" i="3"/>
  <c r="A51" i="2"/>
  <c r="B50" i="2"/>
  <c r="D50" i="2"/>
  <c r="A49" i="3"/>
  <c r="A52" i="2" l="1"/>
  <c r="B49" i="3"/>
  <c r="B51" i="2"/>
  <c r="A50" i="3"/>
  <c r="Z50" i="4" l="1"/>
  <c r="A51" i="3"/>
  <c r="B50" i="3"/>
  <c r="D50" i="3"/>
  <c r="A53" i="2"/>
  <c r="B52" i="2"/>
  <c r="D52" i="2"/>
  <c r="C50" i="3" l="1"/>
  <c r="B53" i="2"/>
  <c r="B51" i="3"/>
  <c r="A52" i="3"/>
  <c r="A54" i="2"/>
  <c r="Z52" i="4" l="1"/>
  <c r="C52" i="3" s="1"/>
  <c r="D54" i="2"/>
  <c r="B54" i="2"/>
  <c r="A55" i="2"/>
  <c r="A53" i="3"/>
  <c r="B52" i="3"/>
  <c r="D52" i="3"/>
  <c r="A54" i="3" l="1"/>
  <c r="B53" i="3"/>
  <c r="A56" i="2"/>
  <c r="B55" i="2"/>
  <c r="Z54" i="4" l="1"/>
  <c r="D56" i="2"/>
  <c r="B56" i="2"/>
  <c r="A55" i="3"/>
  <c r="A57" i="2"/>
  <c r="D54" i="3"/>
  <c r="B54" i="3"/>
  <c r="C54" i="3" l="1"/>
  <c r="A58" i="2"/>
  <c r="B57" i="2"/>
  <c r="A56" i="3"/>
  <c r="B55" i="3"/>
  <c r="Z56" i="4" l="1"/>
  <c r="C56" i="3" s="1"/>
  <c r="D56" i="3"/>
  <c r="B56" i="3"/>
  <c r="A57" i="3"/>
  <c r="A59" i="2"/>
  <c r="B58" i="2"/>
  <c r="D58" i="2"/>
  <c r="B59" i="2" l="1"/>
  <c r="A58" i="3"/>
  <c r="B57" i="3"/>
  <c r="A60" i="2"/>
  <c r="Z58" i="4" l="1"/>
  <c r="C58" i="3" s="1"/>
  <c r="A61" i="2"/>
  <c r="B60" i="2"/>
  <c r="D60" i="2"/>
  <c r="A59" i="3"/>
  <c r="B58" i="3"/>
  <c r="D58" i="3"/>
  <c r="A62" i="2" l="1"/>
  <c r="B59" i="3"/>
  <c r="B61" i="2"/>
  <c r="A60" i="3"/>
  <c r="Z60" i="4" l="1"/>
  <c r="C60" i="3" s="1"/>
  <c r="A61" i="3"/>
  <c r="B60" i="3"/>
  <c r="D60" i="3"/>
  <c r="A63" i="2"/>
  <c r="D62" i="2"/>
  <c r="B62" i="2"/>
  <c r="A62" i="3" l="1"/>
  <c r="B63" i="2"/>
  <c r="B61" i="3"/>
  <c r="A64" i="2"/>
  <c r="Z62" i="4" l="1"/>
  <c r="C62" i="3" s="1"/>
  <c r="B64" i="2"/>
  <c r="D64" i="2"/>
  <c r="A65" i="2"/>
  <c r="A63" i="3"/>
  <c r="B62" i="3"/>
  <c r="D62" i="3"/>
  <c r="A66" i="2" l="1"/>
  <c r="B65" i="2"/>
  <c r="A64" i="3"/>
  <c r="B63" i="3"/>
  <c r="Z64" i="4" l="1"/>
  <c r="C64" i="3" s="1"/>
  <c r="A65" i="3"/>
  <c r="B64" i="3"/>
  <c r="D64" i="3"/>
  <c r="A67" i="2"/>
  <c r="B66" i="2"/>
  <c r="D66" i="2"/>
  <c r="A68" i="2" l="1"/>
  <c r="B67" i="2"/>
  <c r="A66" i="3"/>
  <c r="B65" i="3"/>
  <c r="Z66" i="4" l="1"/>
  <c r="C66" i="3" s="1"/>
  <c r="A67" i="3"/>
  <c r="A69" i="2"/>
  <c r="D66" i="3"/>
  <c r="B66" i="3"/>
  <c r="B68" i="2"/>
  <c r="D68" i="2"/>
  <c r="A70" i="2" l="1"/>
  <c r="M39" i="4"/>
  <c r="B69" i="2"/>
  <c r="A68" i="3"/>
  <c r="B67" i="3"/>
  <c r="Z68" i="4" l="1"/>
  <c r="C68" i="3" s="1"/>
  <c r="A69" i="3"/>
  <c r="B68" i="3"/>
  <c r="D68" i="3"/>
  <c r="N39" i="4"/>
  <c r="B70" i="2"/>
  <c r="D70" i="2"/>
  <c r="A70" i="3" l="1"/>
  <c r="M38" i="4"/>
  <c r="N38" i="4" s="1"/>
  <c r="M37" i="4" s="1"/>
  <c r="N37" i="4" s="1"/>
  <c r="M36" i="4" s="1"/>
  <c r="O39" i="4"/>
  <c r="B69" i="3"/>
  <c r="D70" i="3" l="1"/>
  <c r="Z70" i="4"/>
  <c r="AB70" i="4" s="1"/>
  <c r="AB69" i="4" s="1"/>
  <c r="B70" i="3"/>
  <c r="O38" i="4"/>
  <c r="N36" i="4"/>
  <c r="M35" i="4" s="1"/>
  <c r="O37" i="4"/>
  <c r="AC69" i="4" l="1"/>
  <c r="F69" i="3" s="1"/>
  <c r="AB68" i="4"/>
  <c r="AC70" i="4"/>
  <c r="F70" i="3" s="1"/>
  <c r="C70" i="3"/>
  <c r="C8" i="3" s="1"/>
  <c r="E70" i="3"/>
  <c r="E69" i="3"/>
  <c r="N35" i="4"/>
  <c r="M34" i="4" s="1"/>
  <c r="O36" i="4"/>
  <c r="AB67" i="4" l="1"/>
  <c r="AC68" i="4"/>
  <c r="F68" i="3" s="1"/>
  <c r="E68" i="3"/>
  <c r="N34" i="4"/>
  <c r="M33" i="4" s="1"/>
  <c r="O35" i="4"/>
  <c r="AC67" i="4" l="1"/>
  <c r="F67" i="3" s="1"/>
  <c r="AB66" i="4"/>
  <c r="E67" i="3"/>
  <c r="N33" i="4"/>
  <c r="M32" i="4" s="1"/>
  <c r="O34" i="4"/>
  <c r="AB65" i="4" l="1"/>
  <c r="AC66" i="4"/>
  <c r="F66" i="3" s="1"/>
  <c r="E66" i="3"/>
  <c r="N32" i="4"/>
  <c r="M31" i="4" s="1"/>
  <c r="O33" i="4"/>
  <c r="AC65" i="4" l="1"/>
  <c r="F65" i="3" s="1"/>
  <c r="AB64" i="4"/>
  <c r="E65" i="3"/>
  <c r="N31" i="4"/>
  <c r="M30" i="4" s="1"/>
  <c r="O32" i="4"/>
  <c r="AB63" i="4" l="1"/>
  <c r="AC64" i="4"/>
  <c r="F64" i="3" s="1"/>
  <c r="E64" i="3"/>
  <c r="N30" i="4"/>
  <c r="M29" i="4" s="1"/>
  <c r="O31" i="4"/>
  <c r="AC63" i="4" l="1"/>
  <c r="F63" i="3" s="1"/>
  <c r="AB62" i="4"/>
  <c r="E63" i="3"/>
  <c r="N29" i="4"/>
  <c r="M28" i="4" s="1"/>
  <c r="O30" i="4"/>
  <c r="AB61" i="4" l="1"/>
  <c r="AC62" i="4"/>
  <c r="F62" i="3" s="1"/>
  <c r="E62" i="3"/>
  <c r="N28" i="4"/>
  <c r="M27" i="4" s="1"/>
  <c r="O29" i="4"/>
  <c r="AC61" i="4" l="1"/>
  <c r="F61" i="3" s="1"/>
  <c r="AB60" i="4"/>
  <c r="E61" i="3"/>
  <c r="N27" i="4"/>
  <c r="M26" i="4" s="1"/>
  <c r="O28" i="4"/>
  <c r="AB59" i="4" l="1"/>
  <c r="AC60" i="4"/>
  <c r="F60" i="3" s="1"/>
  <c r="E60" i="3"/>
  <c r="N26" i="4"/>
  <c r="M25" i="4" s="1"/>
  <c r="O27" i="4"/>
  <c r="AC59" i="4" l="1"/>
  <c r="F59" i="3" s="1"/>
  <c r="AB58" i="4"/>
  <c r="E59" i="3"/>
  <c r="N25" i="4"/>
  <c r="O26" i="4"/>
  <c r="AB57" i="4" l="1"/>
  <c r="AC58" i="4"/>
  <c r="F58" i="3" s="1"/>
  <c r="E58" i="3"/>
  <c r="M24" i="4"/>
  <c r="O25" i="4"/>
  <c r="AC57" i="4" l="1"/>
  <c r="F57" i="3" s="1"/>
  <c r="AB56" i="4"/>
  <c r="E57" i="3"/>
  <c r="N24" i="4"/>
  <c r="M23" i="4" s="1"/>
  <c r="AB55" i="4" l="1"/>
  <c r="AC56" i="4"/>
  <c r="F56" i="3" s="1"/>
  <c r="E56" i="3"/>
  <c r="O24" i="4"/>
  <c r="N23" i="4"/>
  <c r="M22" i="4" s="1"/>
  <c r="AC55" i="4" l="1"/>
  <c r="F55" i="3" s="1"/>
  <c r="AB54" i="4"/>
  <c r="E55" i="3"/>
  <c r="O23" i="4"/>
  <c r="N22" i="4"/>
  <c r="M21" i="4" s="1"/>
  <c r="AB53" i="4" l="1"/>
  <c r="AC54" i="4"/>
  <c r="F54" i="3" s="1"/>
  <c r="E54" i="3"/>
  <c r="O22" i="4"/>
  <c r="N21" i="4"/>
  <c r="M20" i="4" s="1"/>
  <c r="AC53" i="4" l="1"/>
  <c r="F53" i="3" s="1"/>
  <c r="AB52" i="4"/>
  <c r="E53" i="3"/>
  <c r="O21" i="4"/>
  <c r="N20" i="4"/>
  <c r="M19" i="4" s="1"/>
  <c r="AB51" i="4" l="1"/>
  <c r="AC52" i="4"/>
  <c r="F52" i="3" s="1"/>
  <c r="E52" i="3"/>
  <c r="O20" i="4"/>
  <c r="N19" i="4"/>
  <c r="M18" i="4" s="1"/>
  <c r="AC51" i="4" l="1"/>
  <c r="AB50" i="4"/>
  <c r="E51" i="3"/>
  <c r="O19" i="4"/>
  <c r="N18" i="4"/>
  <c r="M17" i="4" s="1"/>
  <c r="AB49" i="4" l="1"/>
  <c r="AC50" i="4"/>
  <c r="F51" i="3"/>
  <c r="E50" i="3"/>
  <c r="O18" i="4"/>
  <c r="N17" i="4"/>
  <c r="M16" i="4" s="1"/>
  <c r="AC49" i="4" l="1"/>
  <c r="F49" i="3" s="1"/>
  <c r="AB48" i="4"/>
  <c r="F50" i="3"/>
  <c r="E49" i="3"/>
  <c r="O17" i="4"/>
  <c r="N16" i="4"/>
  <c r="M15" i="4" s="1"/>
  <c r="AB47" i="4" l="1"/>
  <c r="AC48" i="4"/>
  <c r="F48" i="3" s="1"/>
  <c r="E48" i="3"/>
  <c r="O16" i="4"/>
  <c r="N15" i="4"/>
  <c r="M14" i="4" s="1"/>
  <c r="AC47" i="4" l="1"/>
  <c r="F47" i="3" s="1"/>
  <c r="AB46" i="4"/>
  <c r="E47" i="3"/>
  <c r="O15" i="4"/>
  <c r="N14" i="4"/>
  <c r="M13" i="4" s="1"/>
  <c r="AB45" i="4" l="1"/>
  <c r="AC46" i="4"/>
  <c r="F46" i="3" s="1"/>
  <c r="E46" i="3"/>
  <c r="O14" i="4"/>
  <c r="N13" i="4"/>
  <c r="M12" i="4" s="1"/>
  <c r="AC45" i="4" l="1"/>
  <c r="F45" i="3" s="1"/>
  <c r="AB44" i="4"/>
  <c r="E45" i="3"/>
  <c r="O13" i="4"/>
  <c r="N12" i="4"/>
  <c r="M11" i="4" s="1"/>
  <c r="AB43" i="4" l="1"/>
  <c r="AC44" i="4"/>
  <c r="F44" i="3" s="1"/>
  <c r="E44" i="3"/>
  <c r="O12" i="4"/>
  <c r="N11" i="4"/>
  <c r="M10" i="4" s="1"/>
  <c r="AC43" i="4" l="1"/>
  <c r="F43" i="3" s="1"/>
  <c r="AB42" i="4"/>
  <c r="E43" i="3"/>
  <c r="O11" i="4"/>
  <c r="N10" i="4"/>
  <c r="N41" i="4" s="1"/>
  <c r="M41" i="4"/>
  <c r="AB41" i="4" l="1"/>
  <c r="AC42" i="4"/>
  <c r="F42" i="3" s="1"/>
  <c r="E42" i="3"/>
  <c r="O10" i="4"/>
  <c r="O41" i="4" s="1"/>
  <c r="F28" i="4"/>
  <c r="F34" i="4"/>
  <c r="F33" i="4"/>
  <c r="F23" i="4"/>
  <c r="F12" i="4"/>
  <c r="F17" i="4"/>
  <c r="F19" i="4"/>
  <c r="F11" i="4"/>
  <c r="F20" i="4"/>
  <c r="F26" i="4"/>
  <c r="F25" i="4"/>
  <c r="F15" i="4"/>
  <c r="F18" i="4"/>
  <c r="F36" i="4"/>
  <c r="F16" i="4"/>
  <c r="F13" i="4"/>
  <c r="F37" i="4"/>
  <c r="F39" i="4"/>
  <c r="F31" i="4"/>
  <c r="F35" i="4"/>
  <c r="F10" i="4"/>
  <c r="F32" i="4"/>
  <c r="F29" i="4"/>
  <c r="F27" i="4"/>
  <c r="F30" i="4"/>
  <c r="F24" i="4"/>
  <c r="F21" i="4"/>
  <c r="F22" i="4"/>
  <c r="F14" i="4"/>
  <c r="F38" i="4"/>
  <c r="AC41" i="4" l="1"/>
  <c r="F41" i="3" s="1"/>
  <c r="AB40" i="4"/>
  <c r="E41" i="3"/>
  <c r="G10" i="4"/>
  <c r="E10" i="4"/>
  <c r="F41" i="4"/>
  <c r="AB39" i="4" l="1"/>
  <c r="AC40" i="4"/>
  <c r="F40" i="3" s="1"/>
  <c r="E40" i="3"/>
  <c r="H10" i="4"/>
  <c r="I10" i="4" s="1"/>
  <c r="S12" i="4" s="1"/>
  <c r="E11" i="4"/>
  <c r="E12" i="4" s="1"/>
  <c r="AC39" i="4" l="1"/>
  <c r="F39" i="3" s="1"/>
  <c r="AB38" i="4"/>
  <c r="E39" i="3"/>
  <c r="G11" i="4"/>
  <c r="E13" i="4"/>
  <c r="AB37" i="4" l="1"/>
  <c r="AC38" i="4"/>
  <c r="F38" i="3" s="1"/>
  <c r="E38" i="3"/>
  <c r="C12" i="2"/>
  <c r="E14" i="4"/>
  <c r="H11" i="4"/>
  <c r="I11" i="4" s="1"/>
  <c r="S14" i="4" s="1"/>
  <c r="AC37" i="4" l="1"/>
  <c r="F37" i="3" s="1"/>
  <c r="AB36" i="4"/>
  <c r="E37" i="3"/>
  <c r="G12" i="4"/>
  <c r="E15" i="4"/>
  <c r="AB35" i="4" l="1"/>
  <c r="AC36" i="4"/>
  <c r="F36" i="3" s="1"/>
  <c r="E36" i="3"/>
  <c r="E16" i="4"/>
  <c r="C14" i="2"/>
  <c r="H12" i="4"/>
  <c r="I12" i="4" s="1"/>
  <c r="S16" i="4" s="1"/>
  <c r="AC35" i="4" l="1"/>
  <c r="F35" i="3" s="1"/>
  <c r="AB34" i="4"/>
  <c r="E35" i="3"/>
  <c r="G13" i="4"/>
  <c r="E17" i="4"/>
  <c r="AB33" i="4" l="1"/>
  <c r="AC34" i="4"/>
  <c r="F34" i="3" s="1"/>
  <c r="E34" i="3"/>
  <c r="E18" i="4"/>
  <c r="C16" i="2"/>
  <c r="H13" i="4"/>
  <c r="I13" i="4" s="1"/>
  <c r="S18" i="4" s="1"/>
  <c r="AC33" i="4" l="1"/>
  <c r="F33" i="3" s="1"/>
  <c r="AB32" i="4"/>
  <c r="E33" i="3"/>
  <c r="G14" i="4"/>
  <c r="E19" i="4"/>
  <c r="E20" i="4" s="1"/>
  <c r="AB31" i="4" l="1"/>
  <c r="AC32" i="4"/>
  <c r="F32" i="3" s="1"/>
  <c r="E32" i="3"/>
  <c r="C18" i="2"/>
  <c r="E21" i="4"/>
  <c r="H14" i="4"/>
  <c r="I14" i="4" s="1"/>
  <c r="S20" i="4" s="1"/>
  <c r="AC31" i="4" l="1"/>
  <c r="F31" i="3" s="1"/>
  <c r="AB30" i="4"/>
  <c r="E31" i="3"/>
  <c r="E22" i="4"/>
  <c r="G15" i="4"/>
  <c r="AC30" i="4" l="1"/>
  <c r="F30" i="3" s="1"/>
  <c r="AB29" i="4"/>
  <c r="E30" i="3"/>
  <c r="C20" i="2"/>
  <c r="H15" i="4"/>
  <c r="I15" i="4" s="1"/>
  <c r="S22" i="4" s="1"/>
  <c r="E23" i="4"/>
  <c r="AC29" i="4" l="1"/>
  <c r="F29" i="3" s="1"/>
  <c r="AB28" i="4"/>
  <c r="E29" i="3"/>
  <c r="E24" i="4"/>
  <c r="G16" i="4"/>
  <c r="AB27" i="4" l="1"/>
  <c r="AC28" i="4"/>
  <c r="F28" i="3" s="1"/>
  <c r="E28" i="3"/>
  <c r="C22" i="2"/>
  <c r="H16" i="4"/>
  <c r="I16" i="4" s="1"/>
  <c r="S24" i="4" s="1"/>
  <c r="E25" i="4"/>
  <c r="AB26" i="4" l="1"/>
  <c r="AC27" i="4"/>
  <c r="F27" i="3" s="1"/>
  <c r="E27" i="3"/>
  <c r="G17" i="4"/>
  <c r="E26" i="4"/>
  <c r="AB25" i="4" l="1"/>
  <c r="AC26" i="4"/>
  <c r="F26" i="3" s="1"/>
  <c r="E26" i="3"/>
  <c r="E27" i="4"/>
  <c r="C24" i="2"/>
  <c r="H17" i="4"/>
  <c r="I17" i="4" s="1"/>
  <c r="S26" i="4" s="1"/>
  <c r="AC25" i="4" l="1"/>
  <c r="F25" i="3" s="1"/>
  <c r="AB24" i="4"/>
  <c r="E25" i="3"/>
  <c r="G18" i="4"/>
  <c r="E28" i="4"/>
  <c r="AB23" i="4" l="1"/>
  <c r="AC24" i="4"/>
  <c r="F24" i="3" s="1"/>
  <c r="E24" i="3"/>
  <c r="E29" i="4"/>
  <c r="H18" i="4"/>
  <c r="I18" i="4" s="1"/>
  <c r="S28" i="4" s="1"/>
  <c r="C26" i="2"/>
  <c r="AC23" i="4" l="1"/>
  <c r="F23" i="3" s="1"/>
  <c r="AB22" i="4"/>
  <c r="E23" i="3"/>
  <c r="G19" i="4"/>
  <c r="E30" i="4"/>
  <c r="E31" i="4" s="1"/>
  <c r="E32" i="4" s="1"/>
  <c r="E33" i="4" s="1"/>
  <c r="AB21" i="4" l="1"/>
  <c r="AC22" i="4"/>
  <c r="F22" i="3" s="1"/>
  <c r="E22" i="3"/>
  <c r="H19" i="4"/>
  <c r="I19" i="4" s="1"/>
  <c r="S30" i="4" s="1"/>
  <c r="E34" i="4"/>
  <c r="C28" i="2"/>
  <c r="AC21" i="4" l="1"/>
  <c r="F21" i="3" s="1"/>
  <c r="AB20" i="4"/>
  <c r="E21" i="3"/>
  <c r="E35" i="4"/>
  <c r="G20" i="4"/>
  <c r="AB19" i="4" l="1"/>
  <c r="AC20" i="4"/>
  <c r="F20" i="3"/>
  <c r="E20" i="3"/>
  <c r="C30" i="2"/>
  <c r="E36" i="4"/>
  <c r="H20" i="4"/>
  <c r="I20" i="4" s="1"/>
  <c r="S32" i="4" s="1"/>
  <c r="AC19" i="4" l="1"/>
  <c r="F19" i="3" s="1"/>
  <c r="AB18" i="4"/>
  <c r="E19" i="3"/>
  <c r="E37" i="4"/>
  <c r="G21" i="4"/>
  <c r="AB17" i="4" l="1"/>
  <c r="AC18" i="4"/>
  <c r="F18" i="3"/>
  <c r="E18" i="3"/>
  <c r="E38" i="4"/>
  <c r="C32" i="2"/>
  <c r="H21" i="4"/>
  <c r="I21" i="4" s="1"/>
  <c r="S34" i="4" s="1"/>
  <c r="AB16" i="4" l="1"/>
  <c r="AC17" i="4"/>
  <c r="F17" i="3" s="1"/>
  <c r="E17" i="3"/>
  <c r="E39" i="4"/>
  <c r="G22" i="4"/>
  <c r="AB15" i="4" l="1"/>
  <c r="AC16" i="4"/>
  <c r="F16" i="3" s="1"/>
  <c r="E16" i="3"/>
  <c r="C34" i="2"/>
  <c r="H22" i="4"/>
  <c r="I22" i="4" s="1"/>
  <c r="S36" i="4" s="1"/>
  <c r="AC15" i="4" l="1"/>
  <c r="F15" i="3" s="1"/>
  <c r="AB14" i="4"/>
  <c r="E15" i="3"/>
  <c r="G23" i="4"/>
  <c r="AB13" i="4" l="1"/>
  <c r="AC14" i="4"/>
  <c r="F14" i="3" s="1"/>
  <c r="E14" i="3"/>
  <c r="H23" i="4"/>
  <c r="I23" i="4" s="1"/>
  <c r="S38" i="4" s="1"/>
  <c r="C36" i="2"/>
  <c r="AC13" i="4" l="1"/>
  <c r="F13" i="3" s="1"/>
  <c r="AB12" i="4"/>
  <c r="E13" i="3"/>
  <c r="G24" i="4"/>
  <c r="AC12" i="4" l="1"/>
  <c r="AB11" i="4"/>
  <c r="E12" i="3"/>
  <c r="H24" i="4"/>
  <c r="I24" i="4" s="1"/>
  <c r="S40" i="4" s="1"/>
  <c r="C38" i="2"/>
  <c r="AC11" i="4" l="1"/>
  <c r="F11" i="3" s="1"/>
  <c r="AB10" i="4"/>
  <c r="AC10" i="4" s="1"/>
  <c r="AD10" i="4" s="1"/>
  <c r="AD11" i="4" s="1"/>
  <c r="F12" i="3"/>
  <c r="E11" i="3"/>
  <c r="G25" i="4"/>
  <c r="AD12" i="4" l="1"/>
  <c r="AD13" i="4" s="1"/>
  <c r="AD14" i="4" s="1"/>
  <c r="AD15" i="4" s="1"/>
  <c r="AD16" i="4" s="1"/>
  <c r="AD17" i="4" s="1"/>
  <c r="AD18" i="4" s="1"/>
  <c r="AD19" i="4" s="1"/>
  <c r="AD20" i="4" s="1"/>
  <c r="AD21" i="4" s="1"/>
  <c r="AD22" i="4" s="1"/>
  <c r="AD23" i="4" s="1"/>
  <c r="AD24" i="4" s="1"/>
  <c r="AD25" i="4" s="1"/>
  <c r="AD26" i="4" s="1"/>
  <c r="AD27" i="4" s="1"/>
  <c r="AD28" i="4" s="1"/>
  <c r="AD29" i="4" s="1"/>
  <c r="AD30" i="4" s="1"/>
  <c r="AD31" i="4" s="1"/>
  <c r="AD32" i="4" s="1"/>
  <c r="AD33" i="4" s="1"/>
  <c r="AD34" i="4" s="1"/>
  <c r="AD35" i="4" s="1"/>
  <c r="AD36" i="4" s="1"/>
  <c r="AD37" i="4" s="1"/>
  <c r="AD38" i="4" s="1"/>
  <c r="AD39" i="4" s="1"/>
  <c r="AD40" i="4" s="1"/>
  <c r="AD41" i="4" s="1"/>
  <c r="AD42" i="4" s="1"/>
  <c r="AD43" i="4" s="1"/>
  <c r="AD44" i="4" s="1"/>
  <c r="AD45" i="4" s="1"/>
  <c r="AD46" i="4" s="1"/>
  <c r="AD47" i="4" s="1"/>
  <c r="AD48" i="4" s="1"/>
  <c r="AD49" i="4" s="1"/>
  <c r="AD50" i="4" s="1"/>
  <c r="AD51" i="4" s="1"/>
  <c r="AD52" i="4" s="1"/>
  <c r="AD53" i="4" s="1"/>
  <c r="AD54" i="4" s="1"/>
  <c r="AD55" i="4" s="1"/>
  <c r="AD56" i="4" s="1"/>
  <c r="AD57" i="4" s="1"/>
  <c r="AD58" i="4" s="1"/>
  <c r="AD59" i="4" s="1"/>
  <c r="AD60" i="4" s="1"/>
  <c r="AD61" i="4" s="1"/>
  <c r="AD62" i="4" s="1"/>
  <c r="AD63" i="4" s="1"/>
  <c r="AD64" i="4" s="1"/>
  <c r="AD65" i="4" s="1"/>
  <c r="AD66" i="4" s="1"/>
  <c r="AD67" i="4" s="1"/>
  <c r="AD68" i="4" s="1"/>
  <c r="AD69" i="4" s="1"/>
  <c r="AD70" i="4" s="1"/>
  <c r="E10" i="3"/>
  <c r="E8" i="3" s="1"/>
  <c r="C40" i="2"/>
  <c r="H25" i="4"/>
  <c r="I25" i="4" s="1"/>
  <c r="S42" i="4" s="1"/>
  <c r="G10" i="3" l="1"/>
  <c r="F10" i="3"/>
  <c r="F8" i="3" s="1"/>
  <c r="G26" i="4"/>
  <c r="C42" i="2"/>
  <c r="H26" i="4" l="1"/>
  <c r="I26" i="4" s="1"/>
  <c r="S44" i="4" s="1"/>
  <c r="G11" i="3" l="1"/>
  <c r="G12" i="3"/>
  <c r="C44" i="2"/>
  <c r="G27" i="4"/>
  <c r="G13" i="3" l="1"/>
  <c r="H27" i="4"/>
  <c r="I27" i="4" s="1"/>
  <c r="S46" i="4" s="1"/>
  <c r="G14" i="3" l="1"/>
  <c r="G28" i="4"/>
  <c r="C46" i="2"/>
  <c r="G15" i="3" l="1"/>
  <c r="H28" i="4"/>
  <c r="I28" i="4" s="1"/>
  <c r="S48" i="4" s="1"/>
  <c r="G16" i="3" l="1"/>
  <c r="C48" i="2"/>
  <c r="G29" i="4"/>
  <c r="G17" i="3" l="1"/>
  <c r="H29" i="4"/>
  <c r="I29" i="4" s="1"/>
  <c r="S50" i="4" s="1"/>
  <c r="G18" i="3" l="1"/>
  <c r="G30" i="4"/>
  <c r="C50" i="2"/>
  <c r="G19" i="3" l="1"/>
  <c r="H30" i="4"/>
  <c r="I30" i="4" s="1"/>
  <c r="S52" i="4" s="1"/>
  <c r="G20" i="3" l="1"/>
  <c r="G31" i="4"/>
  <c r="C52" i="2"/>
  <c r="G21" i="3" l="1"/>
  <c r="H31" i="4"/>
  <c r="I31" i="4" s="1"/>
  <c r="S54" i="4" s="1"/>
  <c r="G22" i="3" l="1"/>
  <c r="G32" i="4"/>
  <c r="C54" i="2"/>
  <c r="G23" i="3" l="1"/>
  <c r="H32" i="4"/>
  <c r="I32" i="4" s="1"/>
  <c r="S56" i="4" s="1"/>
  <c r="G24" i="3" l="1"/>
  <c r="G33" i="4"/>
  <c r="C56" i="2"/>
  <c r="G25" i="3" l="1"/>
  <c r="H33" i="4"/>
  <c r="I33" i="4" s="1"/>
  <c r="S58" i="4" s="1"/>
  <c r="G26" i="3" l="1"/>
  <c r="C58" i="2"/>
  <c r="G34" i="4"/>
  <c r="G27" i="3" l="1"/>
  <c r="H34" i="4"/>
  <c r="I34" i="4" s="1"/>
  <c r="S60" i="4" s="1"/>
  <c r="G28" i="3" l="1"/>
  <c r="G35" i="4"/>
  <c r="C60" i="2"/>
  <c r="G29" i="3" l="1"/>
  <c r="H35" i="4"/>
  <c r="I35" i="4" s="1"/>
  <c r="S62" i="4" s="1"/>
  <c r="G30" i="3" l="1"/>
  <c r="G36" i="4"/>
  <c r="C62" i="2"/>
  <c r="G31" i="3" l="1"/>
  <c r="H36" i="4"/>
  <c r="I36" i="4" s="1"/>
  <c r="S64" i="4" s="1"/>
  <c r="G32" i="3" l="1"/>
  <c r="C64" i="2"/>
  <c r="G37" i="4"/>
  <c r="G33" i="3" l="1"/>
  <c r="H37" i="4"/>
  <c r="I37" i="4" s="1"/>
  <c r="S66" i="4" s="1"/>
  <c r="G34" i="3" l="1"/>
  <c r="C66" i="2"/>
  <c r="G38" i="4"/>
  <c r="G35" i="3" l="1"/>
  <c r="H38" i="4"/>
  <c r="G36" i="3" l="1"/>
  <c r="I38" i="4"/>
  <c r="S68" i="4" s="1"/>
  <c r="G37" i="3" l="1"/>
  <c r="C68" i="2"/>
  <c r="G39" i="4"/>
  <c r="G38" i="3" l="1"/>
  <c r="J39" i="4"/>
  <c r="J38" i="4" s="1"/>
  <c r="G41" i="4"/>
  <c r="G47" i="4"/>
  <c r="H39" i="4"/>
  <c r="I39" i="4" s="1"/>
  <c r="S70" i="4" l="1"/>
  <c r="C70" i="2" s="1"/>
  <c r="C8" i="2" s="1"/>
  <c r="G39" i="3"/>
  <c r="J37" i="4"/>
  <c r="K38" i="4"/>
  <c r="G45" i="4"/>
  <c r="K39" i="4"/>
  <c r="U70" i="4" l="1"/>
  <c r="U69" i="4" s="1"/>
  <c r="E69" i="2" s="1"/>
  <c r="G40" i="3"/>
  <c r="J36" i="4"/>
  <c r="K37" i="4"/>
  <c r="E70" i="2" l="1"/>
  <c r="V69" i="4"/>
  <c r="F69" i="2" s="1"/>
  <c r="U68" i="4"/>
  <c r="E68" i="2" s="1"/>
  <c r="V70" i="4"/>
  <c r="F70" i="2" s="1"/>
  <c r="G41" i="3"/>
  <c r="J35" i="4"/>
  <c r="K36" i="4"/>
  <c r="U67" i="4" l="1"/>
  <c r="E67" i="2" s="1"/>
  <c r="V68" i="4"/>
  <c r="F68" i="2" s="1"/>
  <c r="G42" i="3"/>
  <c r="J34" i="4"/>
  <c r="K35" i="4"/>
  <c r="V67" i="4" l="1"/>
  <c r="F67" i="2" s="1"/>
  <c r="U66" i="4"/>
  <c r="E66" i="2" s="1"/>
  <c r="G43" i="3"/>
  <c r="J33" i="4"/>
  <c r="K34" i="4"/>
  <c r="U65" i="4" l="1"/>
  <c r="E65" i="2" s="1"/>
  <c r="V66" i="4"/>
  <c r="F66" i="2" s="1"/>
  <c r="G44" i="3"/>
  <c r="J32" i="4"/>
  <c r="K33" i="4"/>
  <c r="V65" i="4" l="1"/>
  <c r="F65" i="2" s="1"/>
  <c r="U64" i="4"/>
  <c r="E64" i="2" s="1"/>
  <c r="G45" i="3"/>
  <c r="J31" i="4"/>
  <c r="K32" i="4"/>
  <c r="U63" i="4" l="1"/>
  <c r="E63" i="2" s="1"/>
  <c r="V64" i="4"/>
  <c r="F64" i="2" s="1"/>
  <c r="G46" i="3"/>
  <c r="J30" i="4"/>
  <c r="K31" i="4"/>
  <c r="V63" i="4" l="1"/>
  <c r="F63" i="2" s="1"/>
  <c r="U62" i="4"/>
  <c r="E62" i="2" s="1"/>
  <c r="G47" i="3"/>
  <c r="J29" i="4"/>
  <c r="K30" i="4"/>
  <c r="U61" i="4" l="1"/>
  <c r="E61" i="2" s="1"/>
  <c r="V62" i="4"/>
  <c r="F62" i="2" s="1"/>
  <c r="G48" i="3"/>
  <c r="J28" i="4"/>
  <c r="K29" i="4"/>
  <c r="V61" i="4" l="1"/>
  <c r="F61" i="2" s="1"/>
  <c r="U60" i="4"/>
  <c r="E60" i="2" s="1"/>
  <c r="G49" i="3"/>
  <c r="J27" i="4"/>
  <c r="K28" i="4"/>
  <c r="U59" i="4" l="1"/>
  <c r="E59" i="2" s="1"/>
  <c r="V60" i="4"/>
  <c r="F60" i="2" s="1"/>
  <c r="G50" i="3"/>
  <c r="J26" i="4"/>
  <c r="K27" i="4"/>
  <c r="V59" i="4" l="1"/>
  <c r="F59" i="2" s="1"/>
  <c r="U58" i="4"/>
  <c r="E58" i="2" s="1"/>
  <c r="G51" i="3"/>
  <c r="J25" i="4"/>
  <c r="K26" i="4"/>
  <c r="U57" i="4" l="1"/>
  <c r="E57" i="2" s="1"/>
  <c r="V58" i="4"/>
  <c r="F58" i="2" s="1"/>
  <c r="G52" i="3"/>
  <c r="J24" i="4"/>
  <c r="K25" i="4"/>
  <c r="V57" i="4" l="1"/>
  <c r="F57" i="2" s="1"/>
  <c r="U56" i="4"/>
  <c r="E56" i="2" s="1"/>
  <c r="G53" i="3"/>
  <c r="J23" i="4"/>
  <c r="K24" i="4"/>
  <c r="U55" i="4" l="1"/>
  <c r="E55" i="2" s="1"/>
  <c r="V56" i="4"/>
  <c r="F56" i="2" s="1"/>
  <c r="G54" i="3"/>
  <c r="J22" i="4"/>
  <c r="K23" i="4"/>
  <c r="V55" i="4" l="1"/>
  <c r="F55" i="2" s="1"/>
  <c r="U54" i="4"/>
  <c r="E54" i="2" s="1"/>
  <c r="G55" i="3"/>
  <c r="J21" i="4"/>
  <c r="K22" i="4"/>
  <c r="U53" i="4" l="1"/>
  <c r="E53" i="2" s="1"/>
  <c r="V54" i="4"/>
  <c r="F54" i="2" s="1"/>
  <c r="G56" i="3"/>
  <c r="J20" i="4"/>
  <c r="K21" i="4"/>
  <c r="V53" i="4" l="1"/>
  <c r="F53" i="2" s="1"/>
  <c r="U52" i="4"/>
  <c r="E52" i="2" s="1"/>
  <c r="G57" i="3"/>
  <c r="J19" i="4"/>
  <c r="K20" i="4"/>
  <c r="U51" i="4" l="1"/>
  <c r="E51" i="2" s="1"/>
  <c r="V52" i="4"/>
  <c r="F52" i="2" s="1"/>
  <c r="G58" i="3"/>
  <c r="J18" i="4"/>
  <c r="K19" i="4"/>
  <c r="V51" i="4" l="1"/>
  <c r="F51" i="2" s="1"/>
  <c r="U50" i="4"/>
  <c r="E50" i="2" s="1"/>
  <c r="G59" i="3"/>
  <c r="J17" i="4"/>
  <c r="K18" i="4"/>
  <c r="U49" i="4" l="1"/>
  <c r="E49" i="2" s="1"/>
  <c r="V50" i="4"/>
  <c r="F50" i="2" s="1"/>
  <c r="G60" i="3"/>
  <c r="J16" i="4"/>
  <c r="K17" i="4"/>
  <c r="V49" i="4" l="1"/>
  <c r="F49" i="2" s="1"/>
  <c r="U48" i="4"/>
  <c r="E48" i="2" s="1"/>
  <c r="G61" i="3"/>
  <c r="J15" i="4"/>
  <c r="K16" i="4"/>
  <c r="U47" i="4" l="1"/>
  <c r="E47" i="2" s="1"/>
  <c r="V48" i="4"/>
  <c r="F48" i="2" s="1"/>
  <c r="G62" i="3"/>
  <c r="J14" i="4"/>
  <c r="K15" i="4"/>
  <c r="V47" i="4" l="1"/>
  <c r="F47" i="2" s="1"/>
  <c r="U46" i="4"/>
  <c r="E46" i="2" s="1"/>
  <c r="G63" i="3"/>
  <c r="J13" i="4"/>
  <c r="K14" i="4"/>
  <c r="U45" i="4" l="1"/>
  <c r="E45" i="2" s="1"/>
  <c r="V46" i="4"/>
  <c r="F46" i="2" s="1"/>
  <c r="G64" i="3"/>
  <c r="J12" i="4"/>
  <c r="K13" i="4"/>
  <c r="V45" i="4" l="1"/>
  <c r="F45" i="2" s="1"/>
  <c r="U44" i="4"/>
  <c r="E44" i="2" s="1"/>
  <c r="G65" i="3"/>
  <c r="J11" i="4"/>
  <c r="K12" i="4"/>
  <c r="U43" i="4" l="1"/>
  <c r="E43" i="2" s="1"/>
  <c r="V44" i="4"/>
  <c r="F44" i="2" s="1"/>
  <c r="G66" i="3"/>
  <c r="J10" i="4"/>
  <c r="K11" i="4"/>
  <c r="V43" i="4" l="1"/>
  <c r="F43" i="2" s="1"/>
  <c r="U42" i="4"/>
  <c r="E42" i="2" s="1"/>
  <c r="G67" i="3"/>
  <c r="J41" i="4"/>
  <c r="K10" i="4"/>
  <c r="U41" i="4" l="1"/>
  <c r="E41" i="2" s="1"/>
  <c r="V42" i="4"/>
  <c r="F42" i="2" s="1"/>
  <c r="G68" i="3"/>
  <c r="K41" i="4"/>
  <c r="K43" i="4"/>
  <c r="K44" i="4"/>
  <c r="V41" i="4" l="1"/>
  <c r="F41" i="2" s="1"/>
  <c r="U40" i="4"/>
  <c r="G70" i="3"/>
  <c r="G69" i="3"/>
  <c r="K45" i="4"/>
  <c r="U39" i="4" l="1"/>
  <c r="E39" i="2" s="1"/>
  <c r="V40" i="4"/>
  <c r="F40" i="2" s="1"/>
  <c r="E40" i="2"/>
  <c r="G8" i="3"/>
  <c r="V39" i="4" l="1"/>
  <c r="F39" i="2" s="1"/>
  <c r="U38" i="4"/>
  <c r="E38" i="2" s="1"/>
  <c r="U37" i="4" l="1"/>
  <c r="E37" i="2" s="1"/>
  <c r="V38" i="4"/>
  <c r="F38" i="2" s="1"/>
  <c r="V37" i="4" l="1"/>
  <c r="F37" i="2" s="1"/>
  <c r="U36" i="4"/>
  <c r="E36" i="2" s="1"/>
  <c r="U35" i="4" l="1"/>
  <c r="E35" i="2" s="1"/>
  <c r="V36" i="4"/>
  <c r="F36" i="2" s="1"/>
  <c r="V35" i="4" l="1"/>
  <c r="F35" i="2" s="1"/>
  <c r="U34" i="4"/>
  <c r="E34" i="2" s="1"/>
  <c r="U33" i="4" l="1"/>
  <c r="E33" i="2" s="1"/>
  <c r="V34" i="4"/>
  <c r="F34" i="2" s="1"/>
  <c r="V33" i="4" l="1"/>
  <c r="F33" i="2" s="1"/>
  <c r="U32" i="4"/>
  <c r="E32" i="2" s="1"/>
  <c r="U31" i="4" l="1"/>
  <c r="E31" i="2" s="1"/>
  <c r="V32" i="4"/>
  <c r="F32" i="2" s="1"/>
  <c r="V31" i="4" l="1"/>
  <c r="F31" i="2" s="1"/>
  <c r="U30" i="4"/>
  <c r="E30" i="2" s="1"/>
  <c r="U29" i="4" l="1"/>
  <c r="E29" i="2" s="1"/>
  <c r="V30" i="4"/>
  <c r="F30" i="2" s="1"/>
  <c r="V29" i="4" l="1"/>
  <c r="F29" i="2" s="1"/>
  <c r="U28" i="4"/>
  <c r="E28" i="2" s="1"/>
  <c r="U27" i="4" l="1"/>
  <c r="E27" i="2" s="1"/>
  <c r="V28" i="4"/>
  <c r="F28" i="2" s="1"/>
  <c r="V27" i="4" l="1"/>
  <c r="F27" i="2" s="1"/>
  <c r="U26" i="4"/>
  <c r="E26" i="2" s="1"/>
  <c r="U25" i="4" l="1"/>
  <c r="E25" i="2" s="1"/>
  <c r="V26" i="4"/>
  <c r="F26" i="2" s="1"/>
  <c r="V25" i="4" l="1"/>
  <c r="F25" i="2" s="1"/>
  <c r="U24" i="4"/>
  <c r="E24" i="2" s="1"/>
  <c r="U23" i="4" l="1"/>
  <c r="E23" i="2" s="1"/>
  <c r="V24" i="4"/>
  <c r="F24" i="2" s="1"/>
  <c r="V23" i="4" l="1"/>
  <c r="F23" i="2" s="1"/>
  <c r="U22" i="4"/>
  <c r="E22" i="2" s="1"/>
  <c r="U21" i="4" l="1"/>
  <c r="E21" i="2" s="1"/>
  <c r="V22" i="4"/>
  <c r="F22" i="2" s="1"/>
  <c r="V21" i="4" l="1"/>
  <c r="F21" i="2" s="1"/>
  <c r="U20" i="4"/>
  <c r="E20" i="2" s="1"/>
  <c r="U19" i="4" l="1"/>
  <c r="E19" i="2" s="1"/>
  <c r="V20" i="4"/>
  <c r="F20" i="2" s="1"/>
  <c r="V19" i="4" l="1"/>
  <c r="F19" i="2" s="1"/>
  <c r="U18" i="4"/>
  <c r="E18" i="2" s="1"/>
  <c r="U17" i="4" l="1"/>
  <c r="E17" i="2" s="1"/>
  <c r="V18" i="4"/>
  <c r="F18" i="2" s="1"/>
  <c r="V17" i="4" l="1"/>
  <c r="F17" i="2" s="1"/>
  <c r="U16" i="4"/>
  <c r="E16" i="2" s="1"/>
  <c r="U15" i="4" l="1"/>
  <c r="E15" i="2" s="1"/>
  <c r="V16" i="4"/>
  <c r="F16" i="2" s="1"/>
  <c r="V15" i="4" l="1"/>
  <c r="F15" i="2" s="1"/>
  <c r="U14" i="4"/>
  <c r="E14" i="2" s="1"/>
  <c r="U13" i="4" l="1"/>
  <c r="E13" i="2" s="1"/>
  <c r="V14" i="4"/>
  <c r="F14" i="2" s="1"/>
  <c r="V13" i="4" l="1"/>
  <c r="F13" i="2" s="1"/>
  <c r="U12" i="4"/>
  <c r="E12" i="2" l="1"/>
  <c r="U11" i="4"/>
  <c r="V12" i="4"/>
  <c r="F12" i="2" s="1"/>
  <c r="V11" i="4" l="1"/>
  <c r="F11" i="2" s="1"/>
  <c r="U10" i="4"/>
  <c r="E11" i="2"/>
  <c r="V10" i="4" l="1"/>
  <c r="W10" i="4" s="1"/>
  <c r="G10" i="2" s="1"/>
  <c r="E10" i="2"/>
  <c r="E8" i="2" s="1"/>
  <c r="W11" i="4" l="1"/>
  <c r="W12" i="4" s="1"/>
  <c r="W13" i="4" s="1"/>
  <c r="W14" i="4" s="1"/>
  <c r="W15" i="4" s="1"/>
  <c r="W16" i="4" s="1"/>
  <c r="W17" i="4" s="1"/>
  <c r="W18" i="4" s="1"/>
  <c r="W19" i="4" s="1"/>
  <c r="W20" i="4" s="1"/>
  <c r="W21" i="4" s="1"/>
  <c r="W22" i="4" s="1"/>
  <c r="W23" i="4" s="1"/>
  <c r="W24" i="4" s="1"/>
  <c r="W25" i="4" s="1"/>
  <c r="W26" i="4" s="1"/>
  <c r="W27" i="4" s="1"/>
  <c r="W28" i="4" s="1"/>
  <c r="W29" i="4" s="1"/>
  <c r="W30" i="4" s="1"/>
  <c r="W31" i="4" s="1"/>
  <c r="W32" i="4" s="1"/>
  <c r="W33" i="4" s="1"/>
  <c r="W34" i="4" s="1"/>
  <c r="W35" i="4" s="1"/>
  <c r="W36" i="4" s="1"/>
  <c r="W37" i="4" s="1"/>
  <c r="W38" i="4" s="1"/>
  <c r="W39" i="4" s="1"/>
  <c r="W40" i="4" s="1"/>
  <c r="W41" i="4" s="1"/>
  <c r="W42" i="4" s="1"/>
  <c r="W43" i="4" s="1"/>
  <c r="W44" i="4" s="1"/>
  <c r="W45" i="4" s="1"/>
  <c r="W46" i="4" s="1"/>
  <c r="W47" i="4" s="1"/>
  <c r="W48" i="4" s="1"/>
  <c r="W49" i="4" s="1"/>
  <c r="W50" i="4" s="1"/>
  <c r="W51" i="4" s="1"/>
  <c r="W52" i="4" s="1"/>
  <c r="W53" i="4" s="1"/>
  <c r="W54" i="4" s="1"/>
  <c r="W55" i="4" s="1"/>
  <c r="W56" i="4" s="1"/>
  <c r="W57" i="4" s="1"/>
  <c r="W58" i="4" s="1"/>
  <c r="W59" i="4" s="1"/>
  <c r="W60" i="4" s="1"/>
  <c r="W61" i="4" s="1"/>
  <c r="W62" i="4" s="1"/>
  <c r="W63" i="4" s="1"/>
  <c r="W64" i="4" s="1"/>
  <c r="W65" i="4" s="1"/>
  <c r="W66" i="4" s="1"/>
  <c r="W67" i="4" s="1"/>
  <c r="W68" i="4" s="1"/>
  <c r="W69" i="4" s="1"/>
  <c r="W70" i="4" s="1"/>
  <c r="F10" i="2"/>
  <c r="F8" i="2" s="1"/>
  <c r="G11" i="2" l="1"/>
  <c r="G12" i="2"/>
  <c r="G13" i="2" l="1"/>
  <c r="G14" i="2" l="1"/>
  <c r="G15" i="2" l="1"/>
  <c r="G16" i="2" l="1"/>
  <c r="G17" i="2" l="1"/>
  <c r="G18" i="2" l="1"/>
  <c r="G19" i="2" l="1"/>
  <c r="G20" i="2" l="1"/>
  <c r="G21" i="2" l="1"/>
  <c r="G22" i="2" l="1"/>
  <c r="G23" i="2" l="1"/>
  <c r="G24" i="2" l="1"/>
  <c r="G25" i="2" l="1"/>
  <c r="G26" i="2" l="1"/>
  <c r="G27" i="2" l="1"/>
  <c r="G28" i="2" l="1"/>
  <c r="G29" i="2" l="1"/>
  <c r="G30" i="2" l="1"/>
  <c r="G31" i="2" l="1"/>
  <c r="G32" i="2" l="1"/>
  <c r="G33" i="2" l="1"/>
  <c r="G34" i="2" l="1"/>
  <c r="G35" i="2" l="1"/>
  <c r="G36" i="2" l="1"/>
  <c r="G37" i="2" l="1"/>
  <c r="G38" i="2" l="1"/>
  <c r="G39" i="2" l="1"/>
  <c r="G40" i="2" l="1"/>
  <c r="G41" i="2" l="1"/>
  <c r="G42" i="2" l="1"/>
  <c r="G43" i="2" l="1"/>
  <c r="G44" i="2" l="1"/>
  <c r="G45" i="2" l="1"/>
  <c r="G46" i="2" l="1"/>
  <c r="G47" i="2" l="1"/>
  <c r="G48" i="2" l="1"/>
  <c r="G49" i="2" l="1"/>
  <c r="G50" i="2" l="1"/>
  <c r="G51" i="2" l="1"/>
  <c r="G52" i="2" l="1"/>
  <c r="G53" i="2" l="1"/>
  <c r="G54" i="2" l="1"/>
  <c r="G55" i="2" l="1"/>
  <c r="G56" i="2" l="1"/>
  <c r="G57" i="2" l="1"/>
  <c r="G58" i="2" l="1"/>
  <c r="G59" i="2" l="1"/>
  <c r="G60" i="2" l="1"/>
  <c r="G61" i="2" l="1"/>
  <c r="G62" i="2" l="1"/>
  <c r="G63" i="2" l="1"/>
  <c r="G64" i="2" l="1"/>
  <c r="G65" i="2" l="1"/>
  <c r="G66" i="2" l="1"/>
  <c r="G67" i="2" l="1"/>
  <c r="G68" i="2" l="1"/>
  <c r="G70" i="2" l="1"/>
  <c r="G69" i="2"/>
  <c r="G8" i="2" l="1"/>
</calcChain>
</file>

<file path=xl/sharedStrings.xml><?xml version="1.0" encoding="utf-8"?>
<sst xmlns="http://schemas.openxmlformats.org/spreadsheetml/2006/main" count="105" uniqueCount="77">
  <si>
    <t>DIRECTIONS:</t>
  </si>
  <si>
    <t>STEP 6: Click on the tab labeled "Level Debt" or "Level Principal" to view the estimate.</t>
  </si>
  <si>
    <t>Please note estimates generated using this file are for estimate purposes only and actual borrowing costs may vary.</t>
  </si>
  <si>
    <t>APPLICANT NAME</t>
  </si>
  <si>
    <t>===&gt;</t>
  </si>
  <si>
    <t>FINANCING AMOUNT</t>
  </si>
  <si>
    <t>TERM</t>
  </si>
  <si>
    <t>ISSUE</t>
  </si>
  <si>
    <t>Fall</t>
  </si>
  <si>
    <t>FISCAL YEAR END</t>
  </si>
  <si>
    <t>03/31</t>
  </si>
  <si>
    <t>ESTIMATE OF DEBT SERVICE</t>
  </si>
  <si>
    <t>DATE</t>
  </si>
  <si>
    <t>PRINCIPAL</t>
  </si>
  <si>
    <t>RATE</t>
  </si>
  <si>
    <t>INTEREST</t>
  </si>
  <si>
    <t>TOTAL</t>
  </si>
  <si>
    <t>ANNUAL
DEBT
SERVICE</t>
  </si>
  <si>
    <t>TOTALS</t>
  </si>
  <si>
    <t>INPUTS</t>
  </si>
  <si>
    <t>INTEREST RATES</t>
  </si>
  <si>
    <t xml:space="preserve">  YEAR 1</t>
  </si>
  <si>
    <t xml:space="preserve">  YEAR 2</t>
  </si>
  <si>
    <t xml:space="preserve">  YEAR 3</t>
  </si>
  <si>
    <t xml:space="preserve">  YEAR 4</t>
  </si>
  <si>
    <t xml:space="preserve">  YEAR 5</t>
  </si>
  <si>
    <t xml:space="preserve">  YEAR 6</t>
  </si>
  <si>
    <t>CNR</t>
  </si>
  <si>
    <t>NR</t>
  </si>
  <si>
    <t>R</t>
  </si>
  <si>
    <t>CR</t>
  </si>
  <si>
    <t>CNR-CR</t>
  </si>
  <si>
    <t xml:space="preserve">  YEAR 7</t>
  </si>
  <si>
    <t xml:space="preserve">  YEAR 8</t>
  </si>
  <si>
    <t xml:space="preserve">  YEAR 9</t>
  </si>
  <si>
    <t xml:space="preserve">  YEAR 10</t>
  </si>
  <si>
    <t xml:space="preserve">  YEAR 11</t>
  </si>
  <si>
    <t xml:space="preserve">  YEAR 12</t>
  </si>
  <si>
    <t xml:space="preserve">  YEAR 13</t>
  </si>
  <si>
    <t xml:space="preserve">  YEAR 14</t>
  </si>
  <si>
    <t xml:space="preserve">  YEAR 15</t>
  </si>
  <si>
    <t xml:space="preserve">  YEAR 16</t>
  </si>
  <si>
    <t xml:space="preserve">  YEAR 17</t>
  </si>
  <si>
    <t xml:space="preserve">  YEAR 18</t>
  </si>
  <si>
    <t xml:space="preserve">  YEAR 19</t>
  </si>
  <si>
    <t xml:space="preserve">  YEAR 20</t>
  </si>
  <si>
    <t xml:space="preserve">  YEAR 21</t>
  </si>
  <si>
    <t xml:space="preserve">  YEAR 22</t>
  </si>
  <si>
    <t xml:space="preserve">  YEAR 23</t>
  </si>
  <si>
    <t xml:space="preserve">  YEAR 24</t>
  </si>
  <si>
    <t xml:space="preserve">  YEAR 25</t>
  </si>
  <si>
    <t xml:space="preserve">  YEAR 26</t>
  </si>
  <si>
    <t xml:space="preserve">  YEAR 27</t>
  </si>
  <si>
    <t xml:space="preserve">  YEAR 28</t>
  </si>
  <si>
    <t xml:space="preserve">  YEAR 29</t>
  </si>
  <si>
    <t xml:space="preserve">  YEAR 30</t>
  </si>
  <si>
    <t>FORMULA VALUES</t>
  </si>
  <si>
    <t xml:space="preserve">  DATED DATE</t>
  </si>
  <si>
    <t xml:space="preserve">  FIRST COUPON</t>
  </si>
  <si>
    <t xml:space="preserve">  FIRST MATURITY</t>
  </si>
  <si>
    <t xml:space="preserve">  LAST MATURITY</t>
  </si>
  <si>
    <t>Level Principal Amount</t>
  </si>
  <si>
    <t>Adjustment Amount</t>
  </si>
  <si>
    <t>DROP DOWN VALUES</t>
  </si>
  <si>
    <t>Spring</t>
  </si>
  <si>
    <t>06/30</t>
  </si>
  <si>
    <t>09/30</t>
  </si>
  <si>
    <t>12/31</t>
  </si>
  <si>
    <t>LEVEL DEBT</t>
  </si>
  <si>
    <t>LEVEL PRINCIPAL</t>
  </si>
  <si>
    <t>ANNUAL DEBT SERVICE</t>
  </si>
  <si>
    <t>LEVEL DEBT PROGRAMMING</t>
  </si>
  <si>
    <t>STEP 4: Click in cell D17, click on the dropdown arrow and select the issue, spring or fall.</t>
  </si>
  <si>
    <t>STEP 3: Click in cell D15, click on the dropdown arrow and select the financing term, 1-30 years.</t>
  </si>
  <si>
    <t>STEP 5: Click in cell D19, click on the dropdown arrow and select the applicant's fiscal year end.</t>
  </si>
  <si>
    <t>STEP 1: Click in cell D11 and enter the applicant's name.</t>
  </si>
  <si>
    <t>STEP 2: Click in cell D13 and enter the financing amount.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</si>
</sst>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mm/dd/yy;@"/>
    <numFmt numFmtId="165" formatCode="0.000%"/>
    <numFmt numFmtId="166" formatCode="mm/dd/yyyy;@"/>
    <numFmt numFmtId="167" formatCode="_(* #,##0_);_(* \(#,##0\);_(* &quot;-&quot;??_);_(@_)"/>
    <numFmt numFmtId="168" formatCode="0.0"/>
  </numFmts>
  <fonts count="12" x14ac:knownFonts="1">
    <font>
      <sz val="12"/>
      <name val="Helv"/>
    </font>
    <font>
      <b/>
      <sz val="12"/>
      <color indexed="62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39" fontId="4" fillId="2" borderId="3" xfId="0" applyNumberFormat="1" applyFont="1" applyFill="1" applyBorder="1" applyProtection="1">
      <protection locked="0"/>
    </xf>
    <xf numFmtId="39" fontId="2" fillId="0" borderId="0" xfId="0" applyNumberFormat="1" applyFont="1"/>
    <xf numFmtId="0" fontId="4" fillId="3" borderId="3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Protection="1">
      <protection locked="0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4" fontId="2" fillId="0" borderId="0" xfId="0" applyNumberFormat="1" applyFont="1"/>
    <xf numFmtId="39" fontId="6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39" fontId="8" fillId="0" borderId="0" xfId="0" quotePrefix="1" applyNumberFormat="1" applyFont="1" applyAlignment="1">
      <alignment horizontal="right"/>
    </xf>
    <xf numFmtId="164" fontId="9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43" fontId="2" fillId="0" borderId="5" xfId="1" applyFont="1" applyBorder="1" applyAlignment="1" applyProtection="1">
      <alignment horizontal="center" vertical="center"/>
    </xf>
    <xf numFmtId="165" fontId="2" fillId="0" borderId="5" xfId="1" applyNumberFormat="1" applyFont="1" applyBorder="1" applyAlignment="1" applyProtection="1">
      <alignment horizontal="center" vertical="center"/>
    </xf>
    <xf numFmtId="43" fontId="2" fillId="0" borderId="0" xfId="1" applyFont="1" applyBorder="1" applyAlignment="1" applyProtection="1">
      <alignment horizontal="center"/>
    </xf>
    <xf numFmtId="165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 wrapText="1"/>
    </xf>
    <xf numFmtId="166" fontId="2" fillId="0" borderId="0" xfId="0" applyNumberFormat="1" applyFont="1" applyAlignment="1">
      <alignment horizontal="center"/>
    </xf>
    <xf numFmtId="165" fontId="2" fillId="0" borderId="0" xfId="1" applyNumberFormat="1" applyFont="1" applyBorder="1" applyAlignment="1" applyProtection="1">
      <alignment horizontal="center"/>
    </xf>
    <xf numFmtId="14" fontId="2" fillId="0" borderId="0" xfId="0" applyNumberFormat="1" applyFont="1"/>
    <xf numFmtId="14" fontId="0" fillId="0" borderId="0" xfId="0" applyNumberFormat="1" applyAlignment="1">
      <alignment horizontal="center"/>
    </xf>
    <xf numFmtId="4" fontId="0" fillId="0" borderId="0" xfId="0" applyNumberFormat="1"/>
    <xf numFmtId="43" fontId="2" fillId="0" borderId="0" xfId="1" applyFont="1" applyProtection="1"/>
    <xf numFmtId="165" fontId="2" fillId="0" borderId="0" xfId="0" applyNumberFormat="1" applyFont="1"/>
    <xf numFmtId="43" fontId="6" fillId="0" borderId="0" xfId="1" applyFont="1" applyAlignment="1" applyProtection="1">
      <alignment horizontal="center"/>
    </xf>
    <xf numFmtId="165" fontId="6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43" fontId="2" fillId="0" borderId="4" xfId="1" applyFont="1" applyBorder="1" applyAlignment="1" applyProtection="1">
      <alignment horizontal="center"/>
    </xf>
    <xf numFmtId="165" fontId="2" fillId="0" borderId="4" xfId="0" applyNumberFormat="1" applyFont="1" applyBorder="1" applyAlignment="1">
      <alignment horizontal="center"/>
    </xf>
    <xf numFmtId="43" fontId="2" fillId="0" borderId="0" xfId="1" applyFont="1" applyBorder="1" applyProtection="1"/>
    <xf numFmtId="43" fontId="2" fillId="0" borderId="0" xfId="1" applyFont="1" applyAlignment="1" applyProtection="1"/>
    <xf numFmtId="43" fontId="0" fillId="0" borderId="0" xfId="1" applyFont="1" applyProtection="1"/>
    <xf numFmtId="165" fontId="0" fillId="0" borderId="0" xfId="0" applyNumberFormat="1"/>
    <xf numFmtId="43" fontId="2" fillId="0" borderId="0" xfId="1" applyFont="1" applyFill="1" applyBorder="1" applyAlignment="1" applyProtection="1">
      <alignment horizontal="center"/>
    </xf>
    <xf numFmtId="0" fontId="4" fillId="0" borderId="0" xfId="0" applyFont="1" applyAlignment="1">
      <alignment vertical="center"/>
    </xf>
    <xf numFmtId="0" fontId="8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14" fontId="2" fillId="0" borderId="0" xfId="0" applyNumberFormat="1" applyFont="1" applyAlignment="1" applyProtection="1">
      <alignment horizontal="center"/>
      <protection hidden="1"/>
    </xf>
    <xf numFmtId="167" fontId="2" fillId="0" borderId="0" xfId="1" applyNumberFormat="1" applyFont="1" applyProtection="1">
      <protection hidden="1"/>
    </xf>
    <xf numFmtId="14" fontId="2" fillId="0" borderId="4" xfId="0" applyNumberFormat="1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4" fontId="2" fillId="0" borderId="4" xfId="0" applyNumberFormat="1" applyFont="1" applyBorder="1" applyAlignment="1" applyProtection="1">
      <alignment horizontal="center" wrapText="1"/>
      <protection hidden="1"/>
    </xf>
    <xf numFmtId="43" fontId="2" fillId="0" borderId="4" xfId="1" applyFont="1" applyBorder="1" applyAlignment="1" applyProtection="1">
      <alignment horizontal="center"/>
      <protection hidden="1"/>
    </xf>
    <xf numFmtId="165" fontId="2" fillId="0" borderId="4" xfId="0" applyNumberFormat="1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0" fillId="0" borderId="0" xfId="0" applyFont="1" applyProtection="1">
      <protection hidden="1"/>
    </xf>
    <xf numFmtId="165" fontId="2" fillId="2" borderId="3" xfId="0" applyNumberFormat="1" applyFont="1" applyFill="1" applyBorder="1" applyProtection="1">
      <protection hidden="1"/>
    </xf>
    <xf numFmtId="165" fontId="2" fillId="0" borderId="0" xfId="0" applyNumberFormat="1" applyFont="1" applyProtection="1">
      <protection hidden="1"/>
    </xf>
    <xf numFmtId="43" fontId="2" fillId="0" borderId="0" xfId="1" applyFont="1" applyProtection="1">
      <protection hidden="1"/>
    </xf>
    <xf numFmtId="39" fontId="2" fillId="0" borderId="0" xfId="0" applyNumberFormat="1" applyFont="1" applyProtection="1">
      <protection hidden="1"/>
    </xf>
    <xf numFmtId="39" fontId="2" fillId="4" borderId="0" xfId="0" applyNumberFormat="1" applyFont="1" applyFill="1" applyProtection="1">
      <protection hidden="1"/>
    </xf>
    <xf numFmtId="39" fontId="2" fillId="0" borderId="0" xfId="1" applyNumberFormat="1" applyFont="1" applyProtection="1">
      <protection hidden="1"/>
    </xf>
    <xf numFmtId="4" fontId="2" fillId="0" borderId="0" xfId="0" applyNumberFormat="1" applyFont="1" applyProtection="1">
      <protection hidden="1"/>
    </xf>
    <xf numFmtId="39" fontId="2" fillId="0" borderId="0" xfId="1" applyNumberFormat="1" applyFont="1" applyBorder="1" applyProtection="1"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43" fontId="2" fillId="0" borderId="0" xfId="1" applyFont="1" applyFill="1" applyBorder="1" applyProtection="1">
      <protection hidden="1"/>
    </xf>
    <xf numFmtId="168" fontId="2" fillId="0" borderId="0" xfId="0" applyNumberFormat="1" applyFont="1" applyProtection="1">
      <protection hidden="1"/>
    </xf>
    <xf numFmtId="0" fontId="2" fillId="0" borderId="0" xfId="0" quotePrefix="1" applyFont="1" applyProtection="1">
      <protection hidden="1"/>
    </xf>
    <xf numFmtId="0" fontId="8" fillId="0" borderId="0" xfId="0" applyFont="1" applyAlignment="1" applyProtection="1">
      <alignment horizontal="left"/>
      <protection hidden="1"/>
    </xf>
    <xf numFmtId="0" fontId="11" fillId="0" borderId="0" xfId="0" applyFont="1" applyProtection="1">
      <protection hidden="1"/>
    </xf>
    <xf numFmtId="0" fontId="10" fillId="0" borderId="0" xfId="0" applyFont="1" applyAlignment="1" applyProtection="1">
      <alignment horizontal="left"/>
      <protection hidden="1"/>
    </xf>
    <xf numFmtId="16" fontId="2" fillId="0" borderId="0" xfId="0" quotePrefix="1" applyNumberFormat="1" applyFont="1" applyProtection="1">
      <protection hidden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  <protection hidden="1"/>
    </xf>
  </cellXfs>
  <cellStyles count="3">
    <cellStyle name="Comma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9"/>
  <sheetViews>
    <sheetView tabSelected="1" workbookViewId="0">
      <selection activeCell="F14" sqref="F14"/>
    </sheetView>
  </sheetViews>
  <sheetFormatPr defaultRowHeight="12.75" x14ac:dyDescent="0.2"/>
  <cols>
    <col min="1" max="1" width="12.88671875" style="1" customWidth="1"/>
    <col min="2" max="2" width="10.88671875" style="1" customWidth="1"/>
    <col min="3" max="3" width="4.33203125" style="1" bestFit="1" customWidth="1"/>
    <col min="4" max="4" width="15.88671875" style="1" customWidth="1"/>
    <col min="5" max="5" width="31.6640625" style="1" customWidth="1"/>
    <col min="6" max="6" width="15.6640625" style="1" customWidth="1"/>
    <col min="7" max="16384" width="8.88671875" style="1"/>
  </cols>
  <sheetData>
    <row r="1" spans="1:8" ht="15.75" x14ac:dyDescent="0.25">
      <c r="A1" s="73" t="s">
        <v>0</v>
      </c>
      <c r="B1" s="73"/>
      <c r="C1" s="73"/>
      <c r="D1" s="73"/>
      <c r="E1" s="73"/>
      <c r="F1" s="73"/>
    </row>
    <row r="2" spans="1:8" x14ac:dyDescent="0.2">
      <c r="A2" s="77" t="s">
        <v>75</v>
      </c>
      <c r="B2" s="77"/>
      <c r="C2" s="77"/>
      <c r="D2" s="77"/>
      <c r="E2" s="77"/>
      <c r="F2" s="77"/>
    </row>
    <row r="3" spans="1:8" x14ac:dyDescent="0.2">
      <c r="A3" s="77" t="s">
        <v>76</v>
      </c>
      <c r="B3" s="77"/>
      <c r="C3" s="77"/>
      <c r="D3" s="77"/>
      <c r="E3" s="77"/>
      <c r="F3" s="77"/>
    </row>
    <row r="4" spans="1:8" x14ac:dyDescent="0.2">
      <c r="A4" s="77" t="s">
        <v>73</v>
      </c>
      <c r="B4" s="77"/>
      <c r="C4" s="77"/>
      <c r="D4" s="77"/>
      <c r="E4" s="77"/>
      <c r="F4" s="77"/>
    </row>
    <row r="5" spans="1:8" x14ac:dyDescent="0.2">
      <c r="A5" s="77" t="s">
        <v>72</v>
      </c>
      <c r="B5" s="77"/>
      <c r="C5" s="77"/>
      <c r="D5" s="77"/>
      <c r="E5" s="77"/>
      <c r="F5" s="77"/>
    </row>
    <row r="6" spans="1:8" x14ac:dyDescent="0.2">
      <c r="A6" s="77" t="s">
        <v>74</v>
      </c>
      <c r="B6" s="77"/>
      <c r="C6" s="77"/>
      <c r="D6" s="77"/>
      <c r="E6" s="77"/>
      <c r="F6" s="77"/>
    </row>
    <row r="7" spans="1:8" ht="25.5" customHeight="1" x14ac:dyDescent="0.2">
      <c r="A7" s="77" t="s">
        <v>1</v>
      </c>
      <c r="B7" s="77"/>
      <c r="C7" s="77"/>
      <c r="D7" s="77"/>
      <c r="E7" s="77"/>
      <c r="F7" s="77"/>
    </row>
    <row r="8" spans="1:8" ht="12.75" customHeight="1" x14ac:dyDescent="0.2">
      <c r="A8" s="2"/>
      <c r="B8" s="3"/>
      <c r="C8" s="3"/>
      <c r="D8" s="3"/>
      <c r="E8" s="3"/>
    </row>
    <row r="9" spans="1:8" ht="25.5" customHeight="1" x14ac:dyDescent="0.2">
      <c r="A9" s="74" t="s">
        <v>2</v>
      </c>
      <c r="B9" s="74"/>
      <c r="C9" s="74"/>
      <c r="D9" s="74"/>
      <c r="E9" s="74"/>
    </row>
    <row r="11" spans="1:8" ht="15.75" x14ac:dyDescent="0.25">
      <c r="A11" s="73" t="s">
        <v>3</v>
      </c>
      <c r="B11" s="73"/>
      <c r="C11" s="4" t="s">
        <v>4</v>
      </c>
      <c r="D11" s="75"/>
      <c r="E11" s="76"/>
    </row>
    <row r="13" spans="1:8" ht="15.75" x14ac:dyDescent="0.25">
      <c r="A13" s="73" t="s">
        <v>5</v>
      </c>
      <c r="B13" s="73"/>
      <c r="C13" s="4" t="s">
        <v>4</v>
      </c>
      <c r="D13" s="5"/>
      <c r="E13" s="6"/>
      <c r="F13" s="6"/>
      <c r="G13" s="6"/>
      <c r="H13" s="6"/>
    </row>
    <row r="15" spans="1:8" ht="15.75" x14ac:dyDescent="0.25">
      <c r="A15" s="73" t="s">
        <v>6</v>
      </c>
      <c r="B15" s="73"/>
      <c r="C15" s="4" t="s">
        <v>4</v>
      </c>
      <c r="D15" s="7">
        <v>20</v>
      </c>
    </row>
    <row r="17" spans="1:4" ht="15.75" x14ac:dyDescent="0.25">
      <c r="A17" s="73" t="s">
        <v>7</v>
      </c>
      <c r="B17" s="73"/>
      <c r="C17" s="4" t="s">
        <v>4</v>
      </c>
      <c r="D17" s="8" t="s">
        <v>8</v>
      </c>
    </row>
    <row r="19" spans="1:4" ht="15.75" x14ac:dyDescent="0.25">
      <c r="A19" s="73" t="s">
        <v>9</v>
      </c>
      <c r="B19" s="73"/>
      <c r="C19" s="4" t="s">
        <v>4</v>
      </c>
      <c r="D19" s="8" t="s">
        <v>67</v>
      </c>
    </row>
  </sheetData>
  <sheetProtection algorithmName="SHA-512" hashValue="Arp9/yfJH8uhPZKV7goSimL4JXuvahzuvxgdIeRk6Vn55dCAhZy2KqMZ++oLIrjQAxNrAP3m70yyuA7eG5QY/A==" saltValue="28COILxFd/uHVLCTcCuYYg==" spinCount="100000" sheet="1" objects="1" scenarios="1"/>
  <protectedRanges>
    <protectedRange password="9E21" sqref="D13:H13 D11" name="Range1"/>
  </protectedRanges>
  <mergeCells count="14">
    <mergeCell ref="A19:B19"/>
    <mergeCell ref="A1:F1"/>
    <mergeCell ref="A11:B11"/>
    <mergeCell ref="A13:B13"/>
    <mergeCell ref="A15:B15"/>
    <mergeCell ref="A17:B17"/>
    <mergeCell ref="A9:E9"/>
    <mergeCell ref="D11:E11"/>
    <mergeCell ref="A2:F2"/>
    <mergeCell ref="A3:F3"/>
    <mergeCell ref="A4:F4"/>
    <mergeCell ref="A5:F5"/>
    <mergeCell ref="A6:F6"/>
    <mergeCell ref="A7:F7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00000000-0002-0000-0000-000000000000}">
          <x14:formula1>
            <xm:f>Calculations!$A$83:$A$86</xm:f>
          </x14:formula1>
          <xm:sqref>D19</xm:sqref>
        </x14:dataValidation>
        <x14:dataValidation type="list" showInputMessage="1" showErrorMessage="1" xr:uid="{00000000-0002-0000-0000-000001000000}">
          <x14:formula1>
            <xm:f>Calculations!$A$79:$A$80</xm:f>
          </x14:formula1>
          <xm:sqref>D17</xm:sqref>
        </x14:dataValidation>
        <x14:dataValidation type="list" showInputMessage="1" showErrorMessage="1" xr:uid="{00000000-0002-0000-0000-000002000000}">
          <x14:formula1>
            <xm:f>Calculations!$A$47:$A$76</xm:f>
          </x14:formula1>
          <xm:sqref>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74"/>
  <sheetViews>
    <sheetView workbookViewId="0">
      <pane ySplit="8" topLeftCell="A15" activePane="bottomLeft" state="frozen"/>
      <selection pane="bottomLeft" activeCell="D12" sqref="D12"/>
    </sheetView>
  </sheetViews>
  <sheetFormatPr defaultColWidth="8.88671875" defaultRowHeight="12.75" customHeight="1" x14ac:dyDescent="0.25"/>
  <cols>
    <col min="1" max="1" width="7.21875" customWidth="1"/>
    <col min="2" max="2" width="11.77734375" style="29" customWidth="1"/>
    <col min="3" max="3" width="13.33203125" customWidth="1"/>
    <col min="4" max="4" width="8.77734375" customWidth="1"/>
    <col min="5" max="6" width="13.33203125" customWidth="1"/>
    <col min="7" max="7" width="13.33203125" style="30" customWidth="1"/>
    <col min="9" max="14" width="8.88671875" customWidth="1"/>
    <col min="16" max="35" width="8.88671875" customWidth="1"/>
  </cols>
  <sheetData>
    <row r="1" spans="1:14" ht="12.95" customHeight="1" x14ac:dyDescent="0.25">
      <c r="A1" s="9"/>
      <c r="B1" s="10"/>
      <c r="C1" s="1"/>
      <c r="D1" s="1"/>
      <c r="E1" s="1"/>
      <c r="F1" s="1"/>
      <c r="G1" s="11"/>
    </row>
    <row r="2" spans="1:14" ht="18.75" customHeight="1" x14ac:dyDescent="0.25">
      <c r="A2" s="78" t="s">
        <v>11</v>
      </c>
      <c r="B2" s="78"/>
      <c r="C2" s="78"/>
      <c r="D2" s="78"/>
      <c r="E2" s="78"/>
      <c r="F2" s="78"/>
      <c r="G2" s="78"/>
    </row>
    <row r="3" spans="1:14" s="1" customFormat="1" ht="12.95" customHeight="1" x14ac:dyDescent="0.25">
      <c r="A3" s="12"/>
      <c r="B3" s="12"/>
      <c r="C3" s="12"/>
      <c r="D3" s="12"/>
      <c r="E3" s="12"/>
      <c r="F3" s="12"/>
      <c r="G3" s="12"/>
    </row>
    <row r="4" spans="1:14" s="13" customFormat="1" ht="12.95" customHeight="1" x14ac:dyDescent="0.25">
      <c r="A4" s="79" t="str">
        <f>IF(Inputs!D11="","", Inputs!D11)</f>
        <v/>
      </c>
      <c r="B4" s="79"/>
      <c r="C4" s="79"/>
      <c r="D4" s="79"/>
      <c r="E4" s="79"/>
      <c r="F4" s="79"/>
      <c r="G4" s="79"/>
    </row>
    <row r="5" spans="1:14" s="13" customFormat="1" ht="12.95" customHeight="1" x14ac:dyDescent="0.2">
      <c r="A5" s="80" t="str">
        <f ca="1" xml:space="preserve"> "PREPARED ON " &amp; TEXT(NOW(), "mm/dd/yyyy")</f>
        <v>PREPARED ON 05/02/2024</v>
      </c>
      <c r="B5" s="80"/>
      <c r="C5" s="80"/>
      <c r="D5" s="80"/>
      <c r="E5" s="80"/>
      <c r="F5" s="80"/>
      <c r="G5" s="80"/>
      <c r="I5" s="43"/>
      <c r="J5" s="43"/>
      <c r="K5" s="43"/>
      <c r="L5" s="43"/>
      <c r="M5" s="43"/>
      <c r="N5" s="43"/>
    </row>
    <row r="6" spans="1:14" s="1" customFormat="1" ht="12.95" customHeight="1" x14ac:dyDescent="0.25">
      <c r="A6" s="12"/>
      <c r="B6" s="12"/>
      <c r="C6" s="12"/>
      <c r="D6" s="12"/>
      <c r="E6" s="12"/>
      <c r="F6" s="14"/>
      <c r="G6" s="15"/>
    </row>
    <row r="7" spans="1:14" s="1" customFormat="1" ht="45" customHeight="1" thickBot="1" x14ac:dyDescent="0.25">
      <c r="A7" s="16"/>
      <c r="B7" s="17" t="s">
        <v>12</v>
      </c>
      <c r="C7" s="16" t="s">
        <v>13</v>
      </c>
      <c r="D7" s="16" t="s">
        <v>14</v>
      </c>
      <c r="E7" s="16" t="s">
        <v>15</v>
      </c>
      <c r="F7" s="16" t="s">
        <v>16</v>
      </c>
      <c r="G7" s="18" t="s">
        <v>17</v>
      </c>
    </row>
    <row r="8" spans="1:14" s="1" customFormat="1" ht="18.75" customHeight="1" thickBot="1" x14ac:dyDescent="0.25">
      <c r="A8" s="19" t="s">
        <v>18</v>
      </c>
      <c r="B8" s="20"/>
      <c r="C8" s="21">
        <f ca="1">SUM(C10:C70)</f>
        <v>0</v>
      </c>
      <c r="D8" s="22"/>
      <c r="E8" s="21">
        <f ca="1">SUM(E10:E70)</f>
        <v>0</v>
      </c>
      <c r="F8" s="21">
        <f ca="1">SUM(F10:F70)</f>
        <v>0</v>
      </c>
      <c r="G8" s="21">
        <f ca="1">SUM(G10:G70)</f>
        <v>0</v>
      </c>
    </row>
    <row r="9" spans="1:14" s="1" customFormat="1" ht="12.75" customHeight="1" x14ac:dyDescent="0.2">
      <c r="A9" s="9"/>
      <c r="B9" s="10"/>
      <c r="C9" s="23"/>
      <c r="D9" s="24"/>
      <c r="E9" s="9"/>
      <c r="F9" s="9"/>
      <c r="G9" s="25"/>
    </row>
    <row r="10" spans="1:14" s="1" customFormat="1" ht="12.75" customHeight="1" x14ac:dyDescent="0.2">
      <c r="A10" s="9" t="str">
        <f ca="1">IF(Calculations!R10&gt;Calculations!$B$6, "",A7+1)</f>
        <v/>
      </c>
      <c r="B10" s="26" t="str">
        <f ca="1">IF(A10="","",Calculations!R10)</f>
        <v/>
      </c>
      <c r="C10" s="23"/>
      <c r="D10" s="27"/>
      <c r="E10" s="23" t="str">
        <f ca="1">IF(A10="","",Calculations!U10)</f>
        <v/>
      </c>
      <c r="F10" s="23" t="str">
        <f ca="1">IF(A10="","",Calculations!V10)</f>
        <v/>
      </c>
      <c r="G10" s="23" t="str">
        <f ca="1">IF(A10="","",Calculations!W10)</f>
        <v/>
      </c>
    </row>
    <row r="11" spans="1:14" s="1" customFormat="1" ht="12.75" customHeight="1" x14ac:dyDescent="0.2">
      <c r="A11" s="9">
        <f ca="1">IF(Calculations!R11&gt;Calculations!$B$6, "",IF(A10="",1,A10+1))</f>
        <v>1</v>
      </c>
      <c r="B11" s="26">
        <f ca="1">IF(A11="","",Calculations!R11)</f>
        <v>45778</v>
      </c>
      <c r="C11" s="23"/>
      <c r="D11" s="27"/>
      <c r="E11" s="23">
        <f ca="1">IF(A11="","",Calculations!U11)</f>
        <v>0</v>
      </c>
      <c r="F11" s="23">
        <f ca="1">IF(A11="","",Calculations!V11)</f>
        <v>0</v>
      </c>
      <c r="G11" s="42" t="str">
        <f ca="1">IF(A11="","",Calculations!W11)</f>
        <v/>
      </c>
    </row>
    <row r="12" spans="1:14" s="1" customFormat="1" ht="12.75" customHeight="1" x14ac:dyDescent="0.2">
      <c r="A12" s="9">
        <f ca="1">IF(Calculations!R12&gt;Calculations!$B$6,"",IF(A11="",A10+1,A11+1))</f>
        <v>2</v>
      </c>
      <c r="B12" s="26">
        <f ca="1">IF(A12="","",Calculations!R12)</f>
        <v>45962</v>
      </c>
      <c r="C12" s="23">
        <f ca="1">IF(A12="","",Calculations!S12)</f>
        <v>0</v>
      </c>
      <c r="D12" s="27">
        <f ca="1">IF(A12="","",Calculations!T12)</f>
        <v>3.8699999999999998E-2</v>
      </c>
      <c r="E12" s="23">
        <f ca="1">IF(A12="","",Calculations!U12)</f>
        <v>0</v>
      </c>
      <c r="F12" s="23">
        <f ca="1">IF(A12="","",Calculations!V12)</f>
        <v>0</v>
      </c>
      <c r="G12" s="23">
        <f ca="1">IF(A12="","",Calculations!W12)</f>
        <v>0</v>
      </c>
    </row>
    <row r="13" spans="1:14" s="1" customFormat="1" ht="12.75" customHeight="1" x14ac:dyDescent="0.2">
      <c r="A13" s="9">
        <f ca="1">IF(Calculations!R13&gt;Calculations!$B$6, "",A12+1)</f>
        <v>3</v>
      </c>
      <c r="B13" s="26">
        <f ca="1">IF(A13="","",Calculations!R13)</f>
        <v>46143</v>
      </c>
      <c r="C13" s="23"/>
      <c r="D13" s="27"/>
      <c r="E13" s="23">
        <f ca="1">IF(A13="","",Calculations!U13)</f>
        <v>0</v>
      </c>
      <c r="F13" s="23">
        <f ca="1">IF(A13="","",Calculations!V13)</f>
        <v>0</v>
      </c>
      <c r="G13" s="23" t="str">
        <f ca="1">IF(A13="","",Calculations!W13)</f>
        <v/>
      </c>
    </row>
    <row r="14" spans="1:14" s="1" customFormat="1" ht="12.75" customHeight="1" x14ac:dyDescent="0.2">
      <c r="A14" s="9">
        <f ca="1">IF(Calculations!R14&gt;Calculations!$B$6, "",A13+1)</f>
        <v>4</v>
      </c>
      <c r="B14" s="26">
        <f ca="1">IF(A14="","",Calculations!R14)</f>
        <v>46327</v>
      </c>
      <c r="C14" s="23">
        <f ca="1">IF(A14="","",Calculations!S14)</f>
        <v>0</v>
      </c>
      <c r="D14" s="27">
        <f ca="1">IF(A14="","",Calculations!T14)</f>
        <v>3.7699999999999997E-2</v>
      </c>
      <c r="E14" s="23">
        <f ca="1">IF(A14="","",Calculations!U14)</f>
        <v>0</v>
      </c>
      <c r="F14" s="23">
        <f ca="1">IF(A14="","",Calculations!V14)</f>
        <v>0</v>
      </c>
      <c r="G14" s="23">
        <f ca="1">IF(A14="","",Calculations!W14)</f>
        <v>0</v>
      </c>
    </row>
    <row r="15" spans="1:14" s="1" customFormat="1" ht="12.75" customHeight="1" x14ac:dyDescent="0.2">
      <c r="A15" s="9">
        <f ca="1">IF(Calculations!R15&gt;Calculations!$B$6, "",A14+1)</f>
        <v>5</v>
      </c>
      <c r="B15" s="26">
        <f ca="1">IF(A15="","",Calculations!R15)</f>
        <v>46508</v>
      </c>
      <c r="C15" s="23"/>
      <c r="D15" s="27"/>
      <c r="E15" s="23">
        <f ca="1">IF(A15="","",Calculations!U15)</f>
        <v>0</v>
      </c>
      <c r="F15" s="23">
        <f ca="1">IF(A15="","",Calculations!V15)</f>
        <v>0</v>
      </c>
      <c r="G15" s="23" t="str">
        <f ca="1">IF(A15="","",Calculations!W15)</f>
        <v/>
      </c>
    </row>
    <row r="16" spans="1:14" s="1" customFormat="1" ht="12.75" customHeight="1" x14ac:dyDescent="0.2">
      <c r="A16" s="9">
        <f ca="1">IF(Calculations!R16&gt;Calculations!$B$6, "",A15+1)</f>
        <v>6</v>
      </c>
      <c r="B16" s="26">
        <f ca="1">IF(A16="","",Calculations!R16)</f>
        <v>46692</v>
      </c>
      <c r="C16" s="23">
        <f ca="1">IF(A16="","",Calculations!S16)</f>
        <v>0</v>
      </c>
      <c r="D16" s="27">
        <f ca="1">IF(A16="","",Calculations!T16)</f>
        <v>3.6200000000000003E-2</v>
      </c>
      <c r="E16" s="23">
        <f ca="1">IF(A16="","",Calculations!U16)</f>
        <v>0</v>
      </c>
      <c r="F16" s="23">
        <f ca="1">IF(A16="","",Calculations!V16)</f>
        <v>0</v>
      </c>
      <c r="G16" s="23">
        <f ca="1">IF(A16="","",Calculations!W16)</f>
        <v>0</v>
      </c>
    </row>
    <row r="17" spans="1:7" s="1" customFormat="1" ht="12.75" customHeight="1" x14ac:dyDescent="0.2">
      <c r="A17" s="9">
        <f ca="1">IF(Calculations!R17&gt;Calculations!$B$6, "",A16+1)</f>
        <v>7</v>
      </c>
      <c r="B17" s="26">
        <f ca="1">IF(A17="","",Calculations!R17)</f>
        <v>46874</v>
      </c>
      <c r="C17" s="23"/>
      <c r="D17" s="27"/>
      <c r="E17" s="23">
        <f ca="1">IF(A17="","",Calculations!U17)</f>
        <v>0</v>
      </c>
      <c r="F17" s="23">
        <f ca="1">IF(A17="","",Calculations!V17)</f>
        <v>0</v>
      </c>
      <c r="G17" s="23" t="str">
        <f ca="1">IF(A17="","",Calculations!W17)</f>
        <v/>
      </c>
    </row>
    <row r="18" spans="1:7" s="1" customFormat="1" ht="12.75" customHeight="1" x14ac:dyDescent="0.2">
      <c r="A18" s="9">
        <f ca="1">IF(Calculations!R18&gt;Calculations!$B$6, "",A17+1)</f>
        <v>8</v>
      </c>
      <c r="B18" s="26">
        <f ca="1">IF(A18="","",Calculations!R18)</f>
        <v>47058</v>
      </c>
      <c r="C18" s="23">
        <f ca="1">IF(A18="","",Calculations!S18)</f>
        <v>0</v>
      </c>
      <c r="D18" s="27">
        <f ca="1">IF(A18="","",Calculations!T18)</f>
        <v>3.5400000000000001E-2</v>
      </c>
      <c r="E18" s="23">
        <f ca="1">IF(A18="","",Calculations!U18)</f>
        <v>0</v>
      </c>
      <c r="F18" s="23">
        <f ca="1">IF(A18="","",Calculations!V18)</f>
        <v>0</v>
      </c>
      <c r="G18" s="23">
        <f ca="1">IF(A18="","",Calculations!W18)</f>
        <v>0</v>
      </c>
    </row>
    <row r="19" spans="1:7" s="1" customFormat="1" ht="12.75" customHeight="1" x14ac:dyDescent="0.2">
      <c r="A19" s="9">
        <f ca="1">IF(Calculations!R19&gt;Calculations!$B$6, "",A18+1)</f>
        <v>9</v>
      </c>
      <c r="B19" s="26">
        <f ca="1">IF(A19="","",Calculations!R19)</f>
        <v>47239</v>
      </c>
      <c r="C19" s="23"/>
      <c r="D19" s="27"/>
      <c r="E19" s="23">
        <f ca="1">IF(A19="","",Calculations!U19)</f>
        <v>0</v>
      </c>
      <c r="F19" s="23">
        <f ca="1">IF(A19="","",Calculations!V19)</f>
        <v>0</v>
      </c>
      <c r="G19" s="23" t="str">
        <f ca="1">IF(A19="","",Calculations!W19)</f>
        <v/>
      </c>
    </row>
    <row r="20" spans="1:7" s="1" customFormat="1" ht="12.75" customHeight="1" x14ac:dyDescent="0.2">
      <c r="A20" s="9">
        <f ca="1">IF(Calculations!R20&gt;Calculations!$B$6, "",A19+1)</f>
        <v>10</v>
      </c>
      <c r="B20" s="26">
        <f ca="1">IF(A20="","",Calculations!R20)</f>
        <v>47423</v>
      </c>
      <c r="C20" s="23">
        <f ca="1">IF(A20="","",Calculations!S20)</f>
        <v>0</v>
      </c>
      <c r="D20" s="27">
        <f ca="1">IF(A20="","",Calculations!T20)</f>
        <v>3.5099999999999999E-2</v>
      </c>
      <c r="E20" s="23">
        <f ca="1">IF(A20="","",Calculations!U20)</f>
        <v>0</v>
      </c>
      <c r="F20" s="23">
        <f ca="1">IF(A20="","",Calculations!V20)</f>
        <v>0</v>
      </c>
      <c r="G20" s="23">
        <f ca="1">IF(A20="","",Calculations!W20)</f>
        <v>0</v>
      </c>
    </row>
    <row r="21" spans="1:7" s="1" customFormat="1" ht="12.75" customHeight="1" x14ac:dyDescent="0.2">
      <c r="A21" s="9">
        <f ca="1">IF(Calculations!R21&gt;Calculations!$B$6, "",A20+1)</f>
        <v>11</v>
      </c>
      <c r="B21" s="26">
        <f ca="1">IF(A21="","",Calculations!R21)</f>
        <v>47604</v>
      </c>
      <c r="C21" s="23"/>
      <c r="D21" s="27"/>
      <c r="E21" s="23">
        <f ca="1">IF(A21="","",Calculations!U21)</f>
        <v>0</v>
      </c>
      <c r="F21" s="23">
        <f ca="1">IF(A21="","",Calculations!V21)</f>
        <v>0</v>
      </c>
      <c r="G21" s="23" t="str">
        <f ca="1">IF(A21="","",Calculations!W21)</f>
        <v/>
      </c>
    </row>
    <row r="22" spans="1:7" s="1" customFormat="1" ht="12.75" customHeight="1" x14ac:dyDescent="0.2">
      <c r="A22" s="9">
        <f ca="1">IF(Calculations!R22&gt;Calculations!$B$6, "",A21+1)</f>
        <v>12</v>
      </c>
      <c r="B22" s="26">
        <f ca="1">IF(A22="","",Calculations!R22)</f>
        <v>47788</v>
      </c>
      <c r="C22" s="23">
        <f ca="1">IF(A22="","",Calculations!S22)</f>
        <v>0</v>
      </c>
      <c r="D22" s="27">
        <f ca="1">IF(A22="","",Calculations!T22)</f>
        <v>3.5000000000000003E-2</v>
      </c>
      <c r="E22" s="23">
        <f ca="1">IF(A22="","",Calculations!U22)</f>
        <v>0</v>
      </c>
      <c r="F22" s="23">
        <f ca="1">IF(A22="","",Calculations!V22)</f>
        <v>0</v>
      </c>
      <c r="G22" s="23">
        <f ca="1">IF(A22="","",Calculations!W22)</f>
        <v>0</v>
      </c>
    </row>
    <row r="23" spans="1:7" s="1" customFormat="1" ht="12.75" customHeight="1" x14ac:dyDescent="0.2">
      <c r="A23" s="9">
        <f ca="1">IF(Calculations!R23&gt;Calculations!$B$6, "",A22+1)</f>
        <v>13</v>
      </c>
      <c r="B23" s="26">
        <f ca="1">IF(A23="","",Calculations!R23)</f>
        <v>47969</v>
      </c>
      <c r="C23" s="23"/>
      <c r="D23" s="27"/>
      <c r="E23" s="23">
        <f ca="1">IF(A23="","",Calculations!U23)</f>
        <v>0</v>
      </c>
      <c r="F23" s="23">
        <f ca="1">IF(A23="","",Calculations!V23)</f>
        <v>0</v>
      </c>
      <c r="G23" s="23" t="str">
        <f ca="1">IF(A23="","",Calculations!W23)</f>
        <v/>
      </c>
    </row>
    <row r="24" spans="1:7" s="1" customFormat="1" ht="12.75" customHeight="1" x14ac:dyDescent="0.2">
      <c r="A24" s="9">
        <f ca="1">IF(Calculations!R24&gt;Calculations!$B$6, "",A23+1)</f>
        <v>14</v>
      </c>
      <c r="B24" s="26">
        <f ca="1">IF(A24="","",Calculations!R24)</f>
        <v>48153</v>
      </c>
      <c r="C24" s="23">
        <f ca="1">IF(A24="","",Calculations!S24)</f>
        <v>0</v>
      </c>
      <c r="D24" s="27">
        <f ca="1">IF(A24="","",Calculations!T24)</f>
        <v>3.5200000000000002E-2</v>
      </c>
      <c r="E24" s="23">
        <f ca="1">IF(A24="","",Calculations!U24)</f>
        <v>0</v>
      </c>
      <c r="F24" s="23">
        <f ca="1">IF(A24="","",Calculations!V24)</f>
        <v>0</v>
      </c>
      <c r="G24" s="23">
        <f ca="1">IF(A24="","",Calculations!W24)</f>
        <v>0</v>
      </c>
    </row>
    <row r="25" spans="1:7" s="1" customFormat="1" ht="12.75" customHeight="1" x14ac:dyDescent="0.2">
      <c r="A25" s="9">
        <f ca="1">IF(Calculations!R25&gt;Calculations!$B$6, "",A24+1)</f>
        <v>15</v>
      </c>
      <c r="B25" s="26">
        <f ca="1">IF(A25="","",Calculations!R25)</f>
        <v>48335</v>
      </c>
      <c r="C25" s="23"/>
      <c r="D25" s="27"/>
      <c r="E25" s="23">
        <f ca="1">IF(A25="","",Calculations!U25)</f>
        <v>0</v>
      </c>
      <c r="F25" s="23">
        <f ca="1">IF(A25="","",Calculations!V25)</f>
        <v>0</v>
      </c>
      <c r="G25" s="23" t="str">
        <f ca="1">IF(A25="","",Calculations!W25)</f>
        <v/>
      </c>
    </row>
    <row r="26" spans="1:7" s="1" customFormat="1" ht="12.75" customHeight="1" x14ac:dyDescent="0.2">
      <c r="A26" s="9">
        <f ca="1">IF(Calculations!R26&gt;Calculations!$B$6, "",A25+1)</f>
        <v>16</v>
      </c>
      <c r="B26" s="26">
        <f ca="1">IF(A26="","",Calculations!R26)</f>
        <v>48519</v>
      </c>
      <c r="C26" s="23">
        <f ca="1">IF(A26="","",Calculations!S26)</f>
        <v>0</v>
      </c>
      <c r="D26" s="27">
        <f ca="1">IF(A26="","",Calculations!T26)</f>
        <v>3.5200000000000002E-2</v>
      </c>
      <c r="E26" s="23">
        <f ca="1">IF(A26="","",Calculations!U26)</f>
        <v>0</v>
      </c>
      <c r="F26" s="23">
        <f ca="1">IF(A26="","",Calculations!V26)</f>
        <v>0</v>
      </c>
      <c r="G26" s="23">
        <f ca="1">IF(A26="","",Calculations!W26)</f>
        <v>0</v>
      </c>
    </row>
    <row r="27" spans="1:7" s="1" customFormat="1" ht="12.75" customHeight="1" x14ac:dyDescent="0.2">
      <c r="A27" s="9">
        <f ca="1">IF(Calculations!R27&gt;Calculations!$B$6, "",A26+1)</f>
        <v>17</v>
      </c>
      <c r="B27" s="26">
        <f ca="1">IF(A27="","",Calculations!R27)</f>
        <v>48700</v>
      </c>
      <c r="C27" s="23"/>
      <c r="D27" s="27"/>
      <c r="E27" s="23">
        <f ca="1">IF(A27="","",Calculations!U27)</f>
        <v>0</v>
      </c>
      <c r="F27" s="23">
        <f ca="1">IF(A27="","",Calculations!V27)</f>
        <v>0</v>
      </c>
      <c r="G27" s="23" t="str">
        <f ca="1">IF(A27="","",Calculations!W27)</f>
        <v/>
      </c>
    </row>
    <row r="28" spans="1:7" s="1" customFormat="1" ht="12.75" customHeight="1" x14ac:dyDescent="0.2">
      <c r="A28" s="9">
        <f ca="1">IF(Calculations!R28&gt;Calculations!$B$6, "",A27+1)</f>
        <v>18</v>
      </c>
      <c r="B28" s="26">
        <f ca="1">IF(A28="","",Calculations!R28)</f>
        <v>48884</v>
      </c>
      <c r="C28" s="23">
        <f ca="1">IF(A28="","",Calculations!S28)</f>
        <v>0</v>
      </c>
      <c r="D28" s="27">
        <f ca="1">IF(A28="","",Calculations!T28)</f>
        <v>3.5400000000000001E-2</v>
      </c>
      <c r="E28" s="23">
        <f ca="1">IF(A28="","",Calculations!U28)</f>
        <v>0</v>
      </c>
      <c r="F28" s="23">
        <f ca="1">IF(A28="","",Calculations!V28)</f>
        <v>0</v>
      </c>
      <c r="G28" s="23">
        <f ca="1">IF(A28="","",Calculations!W28)</f>
        <v>0</v>
      </c>
    </row>
    <row r="29" spans="1:7" s="1" customFormat="1" ht="12.75" customHeight="1" x14ac:dyDescent="0.2">
      <c r="A29" s="9">
        <f ca="1">IF(Calculations!R29&gt;Calculations!$B$6, "",A28+1)</f>
        <v>19</v>
      </c>
      <c r="B29" s="26">
        <f ca="1">IF(A29="","",Calculations!R29)</f>
        <v>49065</v>
      </c>
      <c r="C29" s="23"/>
      <c r="D29" s="27"/>
      <c r="E29" s="23">
        <f ca="1">IF(A29="","",Calculations!U29)</f>
        <v>0</v>
      </c>
      <c r="F29" s="23">
        <f ca="1">IF(A29="","",Calculations!V29)</f>
        <v>0</v>
      </c>
      <c r="G29" s="23" t="str">
        <f ca="1">IF(A29="","",Calculations!W29)</f>
        <v/>
      </c>
    </row>
    <row r="30" spans="1:7" s="1" customFormat="1" ht="12.75" customHeight="1" x14ac:dyDescent="0.2">
      <c r="A30" s="9">
        <f ca="1">IF(Calculations!R30&gt;Calculations!$B$6, "",A29+1)</f>
        <v>20</v>
      </c>
      <c r="B30" s="26">
        <f ca="1">IF(A30="","",Calculations!R30)</f>
        <v>49249</v>
      </c>
      <c r="C30" s="23">
        <f ca="1">IF(A30="","",Calculations!S30)</f>
        <v>0</v>
      </c>
      <c r="D30" s="27">
        <f ca="1">IF(A30="","",Calculations!T30)</f>
        <v>3.5799999999999998E-2</v>
      </c>
      <c r="E30" s="23">
        <f ca="1">IF(A30="","",Calculations!U30)</f>
        <v>0</v>
      </c>
      <c r="F30" s="23">
        <f ca="1">IF(A30="","",Calculations!V30)</f>
        <v>0</v>
      </c>
      <c r="G30" s="23">
        <f ca="1">IF(A30="","",Calculations!W30)</f>
        <v>0</v>
      </c>
    </row>
    <row r="31" spans="1:7" s="1" customFormat="1" ht="12.75" customHeight="1" x14ac:dyDescent="0.2">
      <c r="A31" s="9">
        <f ca="1">IF(Calculations!R31&gt;Calculations!$B$6, "",A30+1)</f>
        <v>21</v>
      </c>
      <c r="B31" s="26">
        <f ca="1">IF(A31="","",Calculations!R31)</f>
        <v>49430</v>
      </c>
      <c r="C31" s="23"/>
      <c r="D31" s="27"/>
      <c r="E31" s="23">
        <f ca="1">IF(A31="","",Calculations!U31)</f>
        <v>0</v>
      </c>
      <c r="F31" s="23">
        <f ca="1">IF(A31="","",Calculations!V31)</f>
        <v>0</v>
      </c>
      <c r="G31" s="23" t="str">
        <f ca="1">IF(A31="","",Calculations!W31)</f>
        <v/>
      </c>
    </row>
    <row r="32" spans="1:7" s="1" customFormat="1" ht="12.75" customHeight="1" x14ac:dyDescent="0.2">
      <c r="A32" s="9">
        <f ca="1">IF(Calculations!R32&gt;Calculations!$B$6, "",A31+1)</f>
        <v>22</v>
      </c>
      <c r="B32" s="26">
        <f ca="1">IF(A32="","",Calculations!R32)</f>
        <v>49614</v>
      </c>
      <c r="C32" s="23">
        <f ca="1">IF(A32="","",Calculations!S32)</f>
        <v>0</v>
      </c>
      <c r="D32" s="27">
        <f ca="1">IF(A32="","",Calculations!T32)</f>
        <v>3.7969999999999997E-2</v>
      </c>
      <c r="E32" s="23">
        <f ca="1">IF(A32="","",Calculations!U32)</f>
        <v>0</v>
      </c>
      <c r="F32" s="23">
        <f ca="1">IF(A32="","",Calculations!V32)</f>
        <v>0</v>
      </c>
      <c r="G32" s="23">
        <f ca="1">IF(A32="","",Calculations!W32)</f>
        <v>0</v>
      </c>
    </row>
    <row r="33" spans="1:7" s="1" customFormat="1" ht="12.75" customHeight="1" x14ac:dyDescent="0.2">
      <c r="A33" s="9">
        <f ca="1">IF(Calculations!R33&gt;Calculations!$B$6, "",A32+1)</f>
        <v>23</v>
      </c>
      <c r="B33" s="26">
        <f ca="1">IF(A33="","",Calculations!R33)</f>
        <v>49796</v>
      </c>
      <c r="C33" s="23"/>
      <c r="D33" s="27"/>
      <c r="E33" s="23">
        <f ca="1">IF(A33="","",Calculations!U33)</f>
        <v>0</v>
      </c>
      <c r="F33" s="23">
        <f ca="1">IF(A33="","",Calculations!V33)</f>
        <v>0</v>
      </c>
      <c r="G33" s="23" t="str">
        <f ca="1">IF(A33="","",Calculations!W33)</f>
        <v/>
      </c>
    </row>
    <row r="34" spans="1:7" s="1" customFormat="1" ht="12.75" customHeight="1" x14ac:dyDescent="0.2">
      <c r="A34" s="9">
        <f ca="1">IF(Calculations!R34&gt;Calculations!$B$6, "",A33+1)</f>
        <v>24</v>
      </c>
      <c r="B34" s="26">
        <f ca="1">IF(A34="","",Calculations!R34)</f>
        <v>49980</v>
      </c>
      <c r="C34" s="23">
        <f ca="1">IF(A34="","",Calculations!S34)</f>
        <v>0</v>
      </c>
      <c r="D34" s="27">
        <f ca="1">IF(A34="","",Calculations!T34)</f>
        <v>3.9640000000000002E-2</v>
      </c>
      <c r="E34" s="23">
        <f ca="1">IF(A34="","",Calculations!U34)</f>
        <v>0</v>
      </c>
      <c r="F34" s="23">
        <f ca="1">IF(A34="","",Calculations!V34)</f>
        <v>0</v>
      </c>
      <c r="G34" s="23">
        <f ca="1">IF(A34="","",Calculations!W34)</f>
        <v>0</v>
      </c>
    </row>
    <row r="35" spans="1:7" s="1" customFormat="1" ht="12.75" customHeight="1" x14ac:dyDescent="0.2">
      <c r="A35" s="9">
        <f ca="1">IF(Calculations!R35&gt;Calculations!$B$6, "",A34+1)</f>
        <v>25</v>
      </c>
      <c r="B35" s="26">
        <f ca="1">IF(A35="","",Calculations!R35)</f>
        <v>50161</v>
      </c>
      <c r="C35" s="23"/>
      <c r="D35" s="27"/>
      <c r="E35" s="23">
        <f ca="1">IF(A35="","",Calculations!U35)</f>
        <v>0</v>
      </c>
      <c r="F35" s="23">
        <f ca="1">IF(A35="","",Calculations!V35)</f>
        <v>0</v>
      </c>
      <c r="G35" s="23" t="str">
        <f ca="1">IF(A35="","",Calculations!W35)</f>
        <v/>
      </c>
    </row>
    <row r="36" spans="1:7" s="1" customFormat="1" ht="12.75" customHeight="1" x14ac:dyDescent="0.2">
      <c r="A36" s="9">
        <f ca="1">IF(Calculations!R36&gt;Calculations!$B$6, "",A35+1)</f>
        <v>26</v>
      </c>
      <c r="B36" s="26">
        <f ca="1">IF(A36="","",Calculations!R36)</f>
        <v>50345</v>
      </c>
      <c r="C36" s="23">
        <f ca="1">IF(A36="","",Calculations!S36)</f>
        <v>0</v>
      </c>
      <c r="D36" s="27">
        <f ca="1">IF(A36="","",Calculations!T36)</f>
        <v>4.1500000000000002E-2</v>
      </c>
      <c r="E36" s="23">
        <f ca="1">IF(A36="","",Calculations!U36)</f>
        <v>0</v>
      </c>
      <c r="F36" s="23">
        <f ca="1">IF(A36="","",Calculations!V36)</f>
        <v>0</v>
      </c>
      <c r="G36" s="23">
        <f ca="1">IF(A36="","",Calculations!W36)</f>
        <v>0</v>
      </c>
    </row>
    <row r="37" spans="1:7" s="1" customFormat="1" ht="12.75" customHeight="1" x14ac:dyDescent="0.2">
      <c r="A37" s="9">
        <f ca="1">IF(Calculations!R37&gt;Calculations!$B$6, "",A36+1)</f>
        <v>27</v>
      </c>
      <c r="B37" s="26">
        <f ca="1">IF(A37="","",Calculations!R37)</f>
        <v>50526</v>
      </c>
      <c r="C37" s="23"/>
      <c r="D37" s="27"/>
      <c r="E37" s="23">
        <f ca="1">IF(A37="","",Calculations!U37)</f>
        <v>0</v>
      </c>
      <c r="F37" s="23">
        <f ca="1">IF(A37="","",Calculations!V37)</f>
        <v>0</v>
      </c>
      <c r="G37" s="23" t="str">
        <f ca="1">IF(A37="","",Calculations!W37)</f>
        <v/>
      </c>
    </row>
    <row r="38" spans="1:7" s="1" customFormat="1" ht="12.75" customHeight="1" x14ac:dyDescent="0.2">
      <c r="A38" s="9">
        <f ca="1">IF(Calculations!R38&gt;Calculations!$B$6, "",A37+1)</f>
        <v>28</v>
      </c>
      <c r="B38" s="26">
        <f ca="1">IF(A38="","",Calculations!R38)</f>
        <v>50710</v>
      </c>
      <c r="C38" s="23">
        <f ca="1">IF(A38="","",Calculations!S38)</f>
        <v>0</v>
      </c>
      <c r="D38" s="27">
        <f ca="1">IF(A38="","",Calculations!T38)</f>
        <v>4.258E-2</v>
      </c>
      <c r="E38" s="23">
        <f ca="1">IF(A38="","",Calculations!U38)</f>
        <v>0</v>
      </c>
      <c r="F38" s="23">
        <f ca="1">IF(A38="","",Calculations!V38)</f>
        <v>0</v>
      </c>
      <c r="G38" s="23">
        <f ca="1">IF(A38="","",Calculations!W38)</f>
        <v>0</v>
      </c>
    </row>
    <row r="39" spans="1:7" s="1" customFormat="1" ht="12.75" customHeight="1" x14ac:dyDescent="0.2">
      <c r="A39" s="9">
        <f ca="1">IF(Calculations!R39&gt;Calculations!$B$6, "",A38+1)</f>
        <v>29</v>
      </c>
      <c r="B39" s="26">
        <f ca="1">IF(A39="","",Calculations!R39)</f>
        <v>50891</v>
      </c>
      <c r="C39" s="23"/>
      <c r="D39" s="27"/>
      <c r="E39" s="23">
        <f ca="1">IF(A39="","",Calculations!U39)</f>
        <v>0</v>
      </c>
      <c r="F39" s="23">
        <f ca="1">IF(A39="","",Calculations!V39)</f>
        <v>0</v>
      </c>
      <c r="G39" s="23" t="str">
        <f ca="1">IF(A39="","",Calculations!W39)</f>
        <v/>
      </c>
    </row>
    <row r="40" spans="1:7" s="1" customFormat="1" ht="12.75" customHeight="1" x14ac:dyDescent="0.2">
      <c r="A40" s="9">
        <f ca="1">IF(Calculations!R40&gt;Calculations!$B$6, "",A39+1)</f>
        <v>30</v>
      </c>
      <c r="B40" s="26">
        <f ca="1">IF(A40="","",Calculations!R40)</f>
        <v>51075</v>
      </c>
      <c r="C40" s="23">
        <f ca="1">IF(A40="","",Calculations!S40)</f>
        <v>0</v>
      </c>
      <c r="D40" s="27">
        <f ca="1">IF(A40="","",Calculations!T40)</f>
        <v>4.3540000000000002E-2</v>
      </c>
      <c r="E40" s="23">
        <f ca="1">IF(A40="","",Calculations!U40)</f>
        <v>0</v>
      </c>
      <c r="F40" s="23">
        <f ca="1">IF(A40="","",Calculations!V40)</f>
        <v>0</v>
      </c>
      <c r="G40" s="23">
        <f ca="1">IF(A40="","",Calculations!W40)</f>
        <v>0</v>
      </c>
    </row>
    <row r="41" spans="1:7" s="1" customFormat="1" ht="12.75" customHeight="1" x14ac:dyDescent="0.2">
      <c r="A41" s="9">
        <f ca="1">IF(Calculations!R41&gt;Calculations!$B$6, "",A40+1)</f>
        <v>31</v>
      </c>
      <c r="B41" s="26">
        <f ca="1">IF(A41="","",Calculations!R41)</f>
        <v>51257</v>
      </c>
      <c r="C41" s="23"/>
      <c r="D41" s="27"/>
      <c r="E41" s="23">
        <f ca="1">IF(A41="","",Calculations!U41)</f>
        <v>0</v>
      </c>
      <c r="F41" s="23">
        <f ca="1">IF(A41="","",Calculations!V41)</f>
        <v>0</v>
      </c>
      <c r="G41" s="23" t="str">
        <f ca="1">IF(A41="","",Calculations!W41)</f>
        <v/>
      </c>
    </row>
    <row r="42" spans="1:7" s="1" customFormat="1" ht="12.75" customHeight="1" x14ac:dyDescent="0.2">
      <c r="A42" s="9">
        <f ca="1">IF(Calculations!R42&gt;Calculations!$B$6, "",A41+1)</f>
        <v>32</v>
      </c>
      <c r="B42" s="26">
        <f ca="1">IF(A42="","",Calculations!R42)</f>
        <v>51441</v>
      </c>
      <c r="C42" s="23">
        <f ca="1">IF(A42="","",Calculations!S42)</f>
        <v>0</v>
      </c>
      <c r="D42" s="27">
        <f ca="1">IF(A42="","",Calculations!T42)</f>
        <v>4.4970000000000003E-2</v>
      </c>
      <c r="E42" s="23">
        <f ca="1">IF(A42="","",Calculations!U42)</f>
        <v>0</v>
      </c>
      <c r="F42" s="23">
        <f ca="1">IF(A42="","",Calculations!V42)</f>
        <v>0</v>
      </c>
      <c r="G42" s="23">
        <f ca="1">IF(A42="","",Calculations!W42)</f>
        <v>0</v>
      </c>
    </row>
    <row r="43" spans="1:7" s="1" customFormat="1" ht="12.75" customHeight="1" x14ac:dyDescent="0.2">
      <c r="A43" s="9">
        <f ca="1">IF(Calculations!R43&gt;Calculations!$B$6, "",A42+1)</f>
        <v>33</v>
      </c>
      <c r="B43" s="26">
        <f ca="1">IF(A43="","",Calculations!R43)</f>
        <v>51622</v>
      </c>
      <c r="C43" s="23"/>
      <c r="D43" s="27"/>
      <c r="E43" s="23">
        <f ca="1">IF(A43="","",Calculations!U43)</f>
        <v>0</v>
      </c>
      <c r="F43" s="23">
        <f ca="1">IF(A43="","",Calculations!V43)</f>
        <v>0</v>
      </c>
      <c r="G43" s="23" t="str">
        <f ca="1">IF(A43="","",Calculations!W43)</f>
        <v/>
      </c>
    </row>
    <row r="44" spans="1:7" s="1" customFormat="1" ht="12.75" customHeight="1" x14ac:dyDescent="0.2">
      <c r="A44" s="9">
        <f ca="1">IF(Calculations!R44&gt;Calculations!$B$6, "",A43+1)</f>
        <v>34</v>
      </c>
      <c r="B44" s="26">
        <f ca="1">IF(A44="","",Calculations!R44)</f>
        <v>51806</v>
      </c>
      <c r="C44" s="23">
        <f ca="1">IF(A44="","",Calculations!S44)</f>
        <v>0</v>
      </c>
      <c r="D44" s="27">
        <f ca="1">IF(A44="","",Calculations!T44)</f>
        <v>4.6260000000000003E-2</v>
      </c>
      <c r="E44" s="23">
        <f ca="1">IF(A44="","",Calculations!U44)</f>
        <v>0</v>
      </c>
      <c r="F44" s="23">
        <f ca="1">IF(A44="","",Calculations!V44)</f>
        <v>0</v>
      </c>
      <c r="G44" s="23">
        <f ca="1">IF(A44="","",Calculations!W44)</f>
        <v>0</v>
      </c>
    </row>
    <row r="45" spans="1:7" s="1" customFormat="1" ht="12.75" customHeight="1" x14ac:dyDescent="0.2">
      <c r="A45" s="9">
        <f ca="1">IF(Calculations!R45&gt;Calculations!$B$6, "",A44+1)</f>
        <v>35</v>
      </c>
      <c r="B45" s="26">
        <f ca="1">IF(A45="","",Calculations!R45)</f>
        <v>51987</v>
      </c>
      <c r="C45" s="23"/>
      <c r="D45" s="27"/>
      <c r="E45" s="23">
        <f ca="1">IF(A45="","",Calculations!U45)</f>
        <v>0</v>
      </c>
      <c r="F45" s="23">
        <f ca="1">IF(A45="","",Calculations!V45)</f>
        <v>0</v>
      </c>
      <c r="G45" s="23" t="str">
        <f ca="1">IF(A45="","",Calculations!W45)</f>
        <v/>
      </c>
    </row>
    <row r="46" spans="1:7" s="1" customFormat="1" ht="12.75" customHeight="1" x14ac:dyDescent="0.2">
      <c r="A46" s="9">
        <f ca="1">IF(Calculations!R46&gt;Calculations!$B$6, "",A45+1)</f>
        <v>36</v>
      </c>
      <c r="B46" s="26">
        <f ca="1">IF(A46="","",Calculations!R46)</f>
        <v>52171</v>
      </c>
      <c r="C46" s="23">
        <f ca="1">IF(A46="","",Calculations!S46)</f>
        <v>0</v>
      </c>
      <c r="D46" s="27">
        <f ca="1">IF(A46="","",Calculations!T46)</f>
        <v>4.6920000000000003E-2</v>
      </c>
      <c r="E46" s="23">
        <f ca="1">IF(A46="","",Calculations!U46)</f>
        <v>0</v>
      </c>
      <c r="F46" s="23">
        <f ca="1">IF(A46="","",Calculations!V46)</f>
        <v>0</v>
      </c>
      <c r="G46" s="23">
        <f ca="1">IF(A46="","",Calculations!W46)</f>
        <v>0</v>
      </c>
    </row>
    <row r="47" spans="1:7" s="1" customFormat="1" ht="12.75" customHeight="1" x14ac:dyDescent="0.2">
      <c r="A47" s="9">
        <f ca="1">IF(Calculations!R47&gt;Calculations!$B$6, "",A46+1)</f>
        <v>37</v>
      </c>
      <c r="B47" s="26">
        <f ca="1">IF(A47="","",Calculations!R47)</f>
        <v>52352</v>
      </c>
      <c r="C47" s="23"/>
      <c r="D47" s="27"/>
      <c r="E47" s="23">
        <f ca="1">IF(A47="","",Calculations!U47)</f>
        <v>0</v>
      </c>
      <c r="F47" s="23">
        <f ca="1">IF(A47="","",Calculations!V47)</f>
        <v>0</v>
      </c>
      <c r="G47" s="23" t="str">
        <f ca="1">IF(A47="","",Calculations!W47)</f>
        <v/>
      </c>
    </row>
    <row r="48" spans="1:7" s="1" customFormat="1" ht="12.75" customHeight="1" x14ac:dyDescent="0.2">
      <c r="A48" s="9">
        <f ca="1">IF(Calculations!R48&gt;Calculations!$B$6, "",A47+1)</f>
        <v>38</v>
      </c>
      <c r="B48" s="26">
        <f ca="1">IF(A48="","",Calculations!R48)</f>
        <v>52536</v>
      </c>
      <c r="C48" s="23">
        <f ca="1">IF(A48="","",Calculations!S48)</f>
        <v>0</v>
      </c>
      <c r="D48" s="27">
        <f ca="1">IF(A48="","",Calculations!T48)</f>
        <v>4.7579999999999997E-2</v>
      </c>
      <c r="E48" s="23">
        <f ca="1">IF(A48="","",Calculations!U48)</f>
        <v>0</v>
      </c>
      <c r="F48" s="23">
        <f ca="1">IF(A48="","",Calculations!V48)</f>
        <v>0</v>
      </c>
      <c r="G48" s="23">
        <f ca="1">IF(A48="","",Calculations!W48)</f>
        <v>0</v>
      </c>
    </row>
    <row r="49" spans="1:7" s="1" customFormat="1" ht="12.75" customHeight="1" x14ac:dyDescent="0.2">
      <c r="A49" s="9">
        <f ca="1">IF(Calculations!R49&gt;Calculations!$B$6, "",A48+1)</f>
        <v>39</v>
      </c>
      <c r="B49" s="26">
        <f ca="1">IF(A49="","",Calculations!R49)</f>
        <v>52718</v>
      </c>
      <c r="C49" s="23"/>
      <c r="D49" s="27"/>
      <c r="E49" s="23">
        <f ca="1">IF(A49="","",Calculations!U49)</f>
        <v>0</v>
      </c>
      <c r="F49" s="23">
        <f ca="1">IF(A49="","",Calculations!V49)</f>
        <v>0</v>
      </c>
      <c r="G49" s="23" t="str">
        <f ca="1">IF(A49="","",Calculations!W49)</f>
        <v/>
      </c>
    </row>
    <row r="50" spans="1:7" s="1" customFormat="1" ht="12.75" customHeight="1" x14ac:dyDescent="0.2">
      <c r="A50" s="9">
        <f ca="1">IF(Calculations!R50&gt;Calculations!$B$6, "",A49+1)</f>
        <v>40</v>
      </c>
      <c r="B50" s="26">
        <f ca="1">IF(A50="","",Calculations!R50)</f>
        <v>52902</v>
      </c>
      <c r="C50" s="23">
        <f ca="1">IF(A50="","",Calculations!S50)</f>
        <v>0</v>
      </c>
      <c r="D50" s="27">
        <f ca="1">IF(A50="","",Calculations!T50)</f>
        <v>4.8070000000000002E-2</v>
      </c>
      <c r="E50" s="23">
        <f ca="1">IF(A50="","",Calculations!U50)</f>
        <v>0</v>
      </c>
      <c r="F50" s="23">
        <f ca="1">IF(A50="","",Calculations!V50)</f>
        <v>0</v>
      </c>
      <c r="G50" s="23">
        <f ca="1">IF(A50="","",Calculations!W50)</f>
        <v>0</v>
      </c>
    </row>
    <row r="51" spans="1:7" s="1" customFormat="1" ht="12.75" customHeight="1" x14ac:dyDescent="0.2">
      <c r="A51" s="9" t="str">
        <f ca="1">IF(Calculations!R51&gt;Calculations!$B$6, "",A50+1)</f>
        <v/>
      </c>
      <c r="B51" s="26" t="str">
        <f ca="1">IF(A51="","",Calculations!R51)</f>
        <v/>
      </c>
      <c r="C51" s="23"/>
      <c r="D51" s="27"/>
      <c r="E51" s="23" t="str">
        <f ca="1">IF(A51="","",Calculations!U51)</f>
        <v/>
      </c>
      <c r="F51" s="23" t="str">
        <f ca="1">IF(A51="","",Calculations!V51)</f>
        <v/>
      </c>
      <c r="G51" s="23" t="str">
        <f ca="1">IF(A51="","",Calculations!W51)</f>
        <v/>
      </c>
    </row>
    <row r="52" spans="1:7" s="1" customFormat="1" ht="12.75" customHeight="1" x14ac:dyDescent="0.2">
      <c r="A52" s="9" t="str">
        <f ca="1">IF(Calculations!R52&gt;Calculations!$B$6, "",A51+1)</f>
        <v/>
      </c>
      <c r="B52" s="26" t="str">
        <f ca="1">IF(A52="","",Calculations!R52)</f>
        <v/>
      </c>
      <c r="C52" s="23" t="str">
        <f ca="1">IF(A52="","",Calculations!S52)</f>
        <v/>
      </c>
      <c r="D52" s="27" t="str">
        <f ca="1">IF(A52="","",Calculations!T52)</f>
        <v/>
      </c>
      <c r="E52" s="23" t="str">
        <f ca="1">IF(A52="","",Calculations!U52)</f>
        <v/>
      </c>
      <c r="F52" s="23" t="str">
        <f ca="1">IF(A52="","",Calculations!V52)</f>
        <v/>
      </c>
      <c r="G52" s="23" t="str">
        <f ca="1">IF(A52="","",Calculations!W52)</f>
        <v/>
      </c>
    </row>
    <row r="53" spans="1:7" s="1" customFormat="1" ht="12.75" customHeight="1" x14ac:dyDescent="0.2">
      <c r="A53" s="9" t="str">
        <f ca="1">IF(Calculations!R53&gt;Calculations!$B$6, "",A52+1)</f>
        <v/>
      </c>
      <c r="B53" s="26" t="str">
        <f ca="1">IF(A53="","",Calculations!R53)</f>
        <v/>
      </c>
      <c r="C53" s="23"/>
      <c r="D53" s="27"/>
      <c r="E53" s="23" t="str">
        <f ca="1">IF(A53="","",Calculations!U53)</f>
        <v/>
      </c>
      <c r="F53" s="23" t="str">
        <f ca="1">IF(A53="","",Calculations!V53)</f>
        <v/>
      </c>
      <c r="G53" s="23" t="str">
        <f ca="1">IF(A53="","",Calculations!W53)</f>
        <v/>
      </c>
    </row>
    <row r="54" spans="1:7" s="1" customFormat="1" ht="12.75" customHeight="1" x14ac:dyDescent="0.2">
      <c r="A54" s="9" t="str">
        <f ca="1">IF(Calculations!R54&gt;Calculations!$B$6, "",A53+1)</f>
        <v/>
      </c>
      <c r="B54" s="26" t="str">
        <f ca="1">IF(A54="","",Calculations!R54)</f>
        <v/>
      </c>
      <c r="C54" s="23" t="str">
        <f ca="1">IF(A54="","",Calculations!S54)</f>
        <v/>
      </c>
      <c r="D54" s="27" t="str">
        <f ca="1">IF(A54="","",Calculations!T54)</f>
        <v/>
      </c>
      <c r="E54" s="23" t="str">
        <f ca="1">IF(A54="","",Calculations!U54)</f>
        <v/>
      </c>
      <c r="F54" s="23" t="str">
        <f ca="1">IF(A54="","",Calculations!V54)</f>
        <v/>
      </c>
      <c r="G54" s="23" t="str">
        <f ca="1">IF(A54="","",Calculations!W54)</f>
        <v/>
      </c>
    </row>
    <row r="55" spans="1:7" s="1" customFormat="1" ht="12.75" customHeight="1" x14ac:dyDescent="0.2">
      <c r="A55" s="9" t="str">
        <f ca="1">IF(Calculations!R55&gt;Calculations!$B$6, "",A54+1)</f>
        <v/>
      </c>
      <c r="B55" s="26" t="str">
        <f ca="1">IF(A55="","",Calculations!R55)</f>
        <v/>
      </c>
      <c r="C55" s="23"/>
      <c r="D55" s="27"/>
      <c r="E55" s="23" t="str">
        <f ca="1">IF(A55="","",Calculations!U55)</f>
        <v/>
      </c>
      <c r="F55" s="23" t="str">
        <f ca="1">IF(A55="","",Calculations!V55)</f>
        <v/>
      </c>
      <c r="G55" s="23" t="str">
        <f ca="1">IF(A55="","",Calculations!W55)</f>
        <v/>
      </c>
    </row>
    <row r="56" spans="1:7" s="1" customFormat="1" ht="12.75" customHeight="1" x14ac:dyDescent="0.2">
      <c r="A56" s="9" t="str">
        <f ca="1">IF(Calculations!R56&gt;Calculations!$B$6, "",A55+1)</f>
        <v/>
      </c>
      <c r="B56" s="26" t="str">
        <f ca="1">IF(A56="","",Calculations!R56)</f>
        <v/>
      </c>
      <c r="C56" s="23" t="str">
        <f ca="1">IF(A56="","",Calculations!S56)</f>
        <v/>
      </c>
      <c r="D56" s="27" t="str">
        <f ca="1">IF(A56="","",Calculations!T56)</f>
        <v/>
      </c>
      <c r="E56" s="23" t="str">
        <f ca="1">IF(A56="","",Calculations!U56)</f>
        <v/>
      </c>
      <c r="F56" s="23" t="str">
        <f ca="1">IF(A56="","",Calculations!V56)</f>
        <v/>
      </c>
      <c r="G56" s="23" t="str">
        <f ca="1">IF(A56="","",Calculations!W56)</f>
        <v/>
      </c>
    </row>
    <row r="57" spans="1:7" s="1" customFormat="1" ht="12.75" customHeight="1" x14ac:dyDescent="0.2">
      <c r="A57" s="9" t="str">
        <f ca="1">IF(Calculations!R57&gt;Calculations!$B$6, "",A56+1)</f>
        <v/>
      </c>
      <c r="B57" s="26" t="str">
        <f ca="1">IF(A57="","",Calculations!R57)</f>
        <v/>
      </c>
      <c r="C57" s="23"/>
      <c r="D57" s="27"/>
      <c r="E57" s="23" t="str">
        <f ca="1">IF(A57="","",Calculations!U57)</f>
        <v/>
      </c>
      <c r="F57" s="23" t="str">
        <f ca="1">IF(A57="","",Calculations!V57)</f>
        <v/>
      </c>
      <c r="G57" s="23" t="str">
        <f ca="1">IF(A57="","",Calculations!W57)</f>
        <v/>
      </c>
    </row>
    <row r="58" spans="1:7" s="1" customFormat="1" ht="12.75" customHeight="1" x14ac:dyDescent="0.2">
      <c r="A58" s="9" t="str">
        <f ca="1">IF(Calculations!R58&gt;Calculations!$B$6, "",A57+1)</f>
        <v/>
      </c>
      <c r="B58" s="26" t="str">
        <f ca="1">IF(A58="","",Calculations!R58)</f>
        <v/>
      </c>
      <c r="C58" s="23" t="str">
        <f ca="1">IF(A58="","",Calculations!S58)</f>
        <v/>
      </c>
      <c r="D58" s="27" t="str">
        <f ca="1">IF(A58="","",Calculations!T58)</f>
        <v/>
      </c>
      <c r="E58" s="23" t="str">
        <f ca="1">IF(A58="","",Calculations!U58)</f>
        <v/>
      </c>
      <c r="F58" s="23" t="str">
        <f ca="1">IF(A58="","",Calculations!V58)</f>
        <v/>
      </c>
      <c r="G58" s="23" t="str">
        <f ca="1">IF(A58="","",Calculations!W58)</f>
        <v/>
      </c>
    </row>
    <row r="59" spans="1:7" s="1" customFormat="1" ht="12.75" customHeight="1" x14ac:dyDescent="0.2">
      <c r="A59" s="9" t="str">
        <f ca="1">IF(Calculations!R59&gt;Calculations!$B$6, "",A58+1)</f>
        <v/>
      </c>
      <c r="B59" s="26" t="str">
        <f ca="1">IF(A59="","",Calculations!R59)</f>
        <v/>
      </c>
      <c r="C59" s="23"/>
      <c r="D59" s="27"/>
      <c r="E59" s="23" t="str">
        <f ca="1">IF(A59="","",Calculations!U59)</f>
        <v/>
      </c>
      <c r="F59" s="23" t="str">
        <f ca="1">IF(A59="","",Calculations!V59)</f>
        <v/>
      </c>
      <c r="G59" s="23" t="str">
        <f ca="1">IF(A59="","",Calculations!W59)</f>
        <v/>
      </c>
    </row>
    <row r="60" spans="1:7" s="1" customFormat="1" ht="12.75" customHeight="1" x14ac:dyDescent="0.2">
      <c r="A60" s="9" t="str">
        <f ca="1">IF(Calculations!R60&gt;Calculations!$B$6, "",A59+1)</f>
        <v/>
      </c>
      <c r="B60" s="26" t="str">
        <f ca="1">IF(A60="","",Calculations!R60)</f>
        <v/>
      </c>
      <c r="C60" s="23" t="str">
        <f ca="1">IF(A60="","",Calculations!S60)</f>
        <v/>
      </c>
      <c r="D60" s="27" t="str">
        <f ca="1">IF(A60="","",Calculations!T60)</f>
        <v/>
      </c>
      <c r="E60" s="23" t="str">
        <f ca="1">IF(A60="","",Calculations!U60)</f>
        <v/>
      </c>
      <c r="F60" s="23" t="str">
        <f ca="1">IF(A60="","",Calculations!V60)</f>
        <v/>
      </c>
      <c r="G60" s="23" t="str">
        <f ca="1">IF(A60="","",Calculations!W60)</f>
        <v/>
      </c>
    </row>
    <row r="61" spans="1:7" s="1" customFormat="1" ht="12.75" customHeight="1" x14ac:dyDescent="0.2">
      <c r="A61" s="9" t="str">
        <f ca="1">IF(Calculations!R61&gt;Calculations!$B$6, "",A60+1)</f>
        <v/>
      </c>
      <c r="B61" s="26" t="str">
        <f ca="1">IF(A61="","",Calculations!R61)</f>
        <v/>
      </c>
      <c r="C61" s="23"/>
      <c r="D61" s="27"/>
      <c r="E61" s="23" t="str">
        <f ca="1">IF(A61="","",Calculations!U61)</f>
        <v/>
      </c>
      <c r="F61" s="23" t="str">
        <f ca="1">IF(A61="","",Calculations!V61)</f>
        <v/>
      </c>
      <c r="G61" s="23" t="str">
        <f ca="1">IF(A61="","",Calculations!W61)</f>
        <v/>
      </c>
    </row>
    <row r="62" spans="1:7" s="1" customFormat="1" ht="12.75" customHeight="1" x14ac:dyDescent="0.2">
      <c r="A62" s="9" t="str">
        <f ca="1">IF(Calculations!R62&gt;Calculations!$B$6, "",A61+1)</f>
        <v/>
      </c>
      <c r="B62" s="26" t="str">
        <f ca="1">IF(A62="","",Calculations!R62)</f>
        <v/>
      </c>
      <c r="C62" s="23" t="str">
        <f ca="1">IF(A62="","",Calculations!S62)</f>
        <v/>
      </c>
      <c r="D62" s="27" t="str">
        <f ca="1">IF(A62="","",Calculations!T62)</f>
        <v/>
      </c>
      <c r="E62" s="23" t="str">
        <f ca="1">IF(A62="","",Calculations!U62)</f>
        <v/>
      </c>
      <c r="F62" s="23" t="str">
        <f ca="1">IF(A62="","",Calculations!V62)</f>
        <v/>
      </c>
      <c r="G62" s="23" t="str">
        <f ca="1">IF(A62="","",Calculations!W62)</f>
        <v/>
      </c>
    </row>
    <row r="63" spans="1:7" s="1" customFormat="1" ht="12.75" customHeight="1" x14ac:dyDescent="0.2">
      <c r="A63" s="9" t="str">
        <f ca="1">IF(Calculations!R63&gt;Calculations!$B$6, "",A62+1)</f>
        <v/>
      </c>
      <c r="B63" s="26" t="str">
        <f ca="1">IF(A63="","",Calculations!R63)</f>
        <v/>
      </c>
      <c r="C63" s="23"/>
      <c r="D63" s="27"/>
      <c r="E63" s="23" t="str">
        <f ca="1">IF(A63="","",Calculations!U63)</f>
        <v/>
      </c>
      <c r="F63" s="23" t="str">
        <f ca="1">IF(A63="","",Calculations!V63)</f>
        <v/>
      </c>
      <c r="G63" s="23" t="str">
        <f ca="1">IF(A63="","",Calculations!W63)</f>
        <v/>
      </c>
    </row>
    <row r="64" spans="1:7" s="1" customFormat="1" ht="12.75" customHeight="1" x14ac:dyDescent="0.2">
      <c r="A64" s="9" t="str">
        <f ca="1">IF(Calculations!R64&gt;Calculations!$B$6, "",A63+1)</f>
        <v/>
      </c>
      <c r="B64" s="26" t="str">
        <f ca="1">IF(A64="","",Calculations!R64)</f>
        <v/>
      </c>
      <c r="C64" s="23" t="str">
        <f ca="1">IF(A64="","",Calculations!S64)</f>
        <v/>
      </c>
      <c r="D64" s="27" t="str">
        <f ca="1">IF(A64="","",Calculations!T64)</f>
        <v/>
      </c>
      <c r="E64" s="23" t="str">
        <f ca="1">IF(A64="","",Calculations!U64)</f>
        <v/>
      </c>
      <c r="F64" s="23" t="str">
        <f ca="1">IF(A64="","",Calculations!V64)</f>
        <v/>
      </c>
      <c r="G64" s="23" t="str">
        <f ca="1">IF(A64="","",Calculations!W64)</f>
        <v/>
      </c>
    </row>
    <row r="65" spans="1:7" s="1" customFormat="1" ht="12.75" customHeight="1" x14ac:dyDescent="0.2">
      <c r="A65" s="9" t="str">
        <f ca="1">IF(Calculations!R65&gt;Calculations!$B$6, "",A64+1)</f>
        <v/>
      </c>
      <c r="B65" s="26" t="str">
        <f ca="1">IF(A65="","",Calculations!R65)</f>
        <v/>
      </c>
      <c r="C65" s="23"/>
      <c r="D65" s="27"/>
      <c r="E65" s="23" t="str">
        <f ca="1">IF(A65="","",Calculations!U65)</f>
        <v/>
      </c>
      <c r="F65" s="23" t="str">
        <f ca="1">IF(A65="","",Calculations!V65)</f>
        <v/>
      </c>
      <c r="G65" s="23" t="str">
        <f ca="1">IF(A65="","",Calculations!W65)</f>
        <v/>
      </c>
    </row>
    <row r="66" spans="1:7" s="1" customFormat="1" ht="12.75" customHeight="1" x14ac:dyDescent="0.2">
      <c r="A66" s="9" t="str">
        <f ca="1">IF(Calculations!R66&gt;Calculations!$B$6, "",A65+1)</f>
        <v/>
      </c>
      <c r="B66" s="26" t="str">
        <f ca="1">IF(A66="","",Calculations!R66)</f>
        <v/>
      </c>
      <c r="C66" s="23" t="str">
        <f ca="1">IF(A66="","",Calculations!S66)</f>
        <v/>
      </c>
      <c r="D66" s="27" t="str">
        <f ca="1">IF(A66="","",Calculations!T66)</f>
        <v/>
      </c>
      <c r="E66" s="23" t="str">
        <f ca="1">IF(A66="","",Calculations!U66)</f>
        <v/>
      </c>
      <c r="F66" s="23" t="str">
        <f ca="1">IF(A66="","",Calculations!V66)</f>
        <v/>
      </c>
      <c r="G66" s="23" t="str">
        <f ca="1">IF(A66="","",Calculations!W66)</f>
        <v/>
      </c>
    </row>
    <row r="67" spans="1:7" s="1" customFormat="1" ht="12.75" customHeight="1" x14ac:dyDescent="0.2">
      <c r="A67" s="9" t="str">
        <f ca="1">IF(Calculations!R67&gt;Calculations!$B$6, "",A66+1)</f>
        <v/>
      </c>
      <c r="B67" s="26" t="str">
        <f ca="1">IF(A67="","",Calculations!R67)</f>
        <v/>
      </c>
      <c r="C67" s="23"/>
      <c r="D67" s="27"/>
      <c r="E67" s="23" t="str">
        <f ca="1">IF(A67="","",Calculations!U67)</f>
        <v/>
      </c>
      <c r="F67" s="23" t="str">
        <f ca="1">IF(A67="","",Calculations!V67)</f>
        <v/>
      </c>
      <c r="G67" s="23" t="str">
        <f ca="1">IF(A67="","",Calculations!W67)</f>
        <v/>
      </c>
    </row>
    <row r="68" spans="1:7" s="1" customFormat="1" ht="12.75" customHeight="1" x14ac:dyDescent="0.2">
      <c r="A68" s="9" t="str">
        <f ca="1">IF(Calculations!R68&gt;Calculations!$B$6, "",A67+1)</f>
        <v/>
      </c>
      <c r="B68" s="26" t="str">
        <f ca="1">IF(A68="","",Calculations!R68)</f>
        <v/>
      </c>
      <c r="C68" s="23" t="str">
        <f ca="1">IF(A68="","",Calculations!S68)</f>
        <v/>
      </c>
      <c r="D68" s="27" t="str">
        <f ca="1">IF(A68="","",Calculations!T68)</f>
        <v/>
      </c>
      <c r="E68" s="23" t="str">
        <f ca="1">IF(A68="","",Calculations!U68)</f>
        <v/>
      </c>
      <c r="F68" s="23" t="str">
        <f ca="1">IF(A68="","",Calculations!V68)</f>
        <v/>
      </c>
      <c r="G68" s="23" t="str">
        <f ca="1">IF(A68="","",Calculations!W68)</f>
        <v/>
      </c>
    </row>
    <row r="69" spans="1:7" s="1" customFormat="1" ht="12.75" customHeight="1" x14ac:dyDescent="0.2">
      <c r="A69" s="9" t="str">
        <f ca="1">IF(Calculations!R69&gt;Calculations!$B$6, "",A68+1)</f>
        <v/>
      </c>
      <c r="B69" s="26" t="str">
        <f ca="1">IF(A69="","",Calculations!R69)</f>
        <v/>
      </c>
      <c r="C69" s="23"/>
      <c r="D69" s="27"/>
      <c r="E69" s="23" t="str">
        <f ca="1">IF(A69="","",Calculations!U69)</f>
        <v/>
      </c>
      <c r="F69" s="23" t="str">
        <f ca="1">IF(A69="","",Calculations!V69)</f>
        <v/>
      </c>
      <c r="G69" s="23" t="str">
        <f ca="1">IF(A69="","",Calculations!W69)</f>
        <v/>
      </c>
    </row>
    <row r="70" spans="1:7" s="1" customFormat="1" ht="12.75" customHeight="1" x14ac:dyDescent="0.2">
      <c r="A70" s="9" t="str">
        <f ca="1">IF(Calculations!R70&gt;Calculations!$B$6, "",A69+1)</f>
        <v/>
      </c>
      <c r="B70" s="26" t="str">
        <f ca="1">IF(A70="","",Calculations!R70)</f>
        <v/>
      </c>
      <c r="C70" s="23" t="str">
        <f ca="1">IF(A70="","",Calculations!S70)</f>
        <v/>
      </c>
      <c r="D70" s="27" t="str">
        <f ca="1">IF(A70="","",Calculations!T70)</f>
        <v/>
      </c>
      <c r="E70" s="23" t="str">
        <f ca="1">IF(A70="","",Calculations!U70)</f>
        <v/>
      </c>
      <c r="F70" s="23" t="str">
        <f ca="1">IF(A70="","",Calculations!V70)</f>
        <v/>
      </c>
      <c r="G70" s="23" t="str">
        <f ca="1">IF(A70="","",Calculations!W70)</f>
        <v/>
      </c>
    </row>
    <row r="71" spans="1:7" s="1" customFormat="1" ht="12.75" customHeight="1" x14ac:dyDescent="0.2">
      <c r="A71" s="9"/>
      <c r="B71" s="10"/>
      <c r="G71" s="11"/>
    </row>
    <row r="72" spans="1:7" s="1" customFormat="1" ht="12.75" customHeight="1" x14ac:dyDescent="0.2">
      <c r="A72" s="9"/>
      <c r="B72" s="10"/>
      <c r="C72" s="6"/>
      <c r="E72" s="6"/>
      <c r="F72" s="6"/>
      <c r="G72" s="11"/>
    </row>
    <row r="73" spans="1:7" s="1" customFormat="1" ht="12.75" customHeight="1" x14ac:dyDescent="0.2">
      <c r="A73" s="9"/>
      <c r="B73" s="10"/>
      <c r="C73" s="6"/>
      <c r="E73" s="6"/>
      <c r="F73" s="6"/>
      <c r="G73" s="11"/>
    </row>
    <row r="74" spans="1:7" s="1" customFormat="1" ht="12.75" customHeight="1" x14ac:dyDescent="0.2">
      <c r="B74" s="28"/>
      <c r="G74" s="11"/>
    </row>
  </sheetData>
  <sheetProtection algorithmName="SHA-512" hashValue="H1CQBVjcEfqYV1Lt96co/p3Vgjxi8QC/Y3cjZQSqv3fLOPMPunp6eq1Prss8+IepwPEtMcEn+MaBWZUPszXzLA==" saltValue="3dTMrW0J9hZGPb0favGGOw==" spinCount="100000" sheet="1" objects="1" scenarios="1" formatCells="0" formatColumns="0" formatRows="0"/>
  <mergeCells count="3">
    <mergeCell ref="A2:G2"/>
    <mergeCell ref="A4:G4"/>
    <mergeCell ref="A5:G5"/>
  </mergeCells>
  <pageMargins left="0.75" right="0.75" top="0.25" bottom="0.25" header="0.5" footer="0.5"/>
  <pageSetup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N74"/>
  <sheetViews>
    <sheetView workbookViewId="0">
      <pane ySplit="8" topLeftCell="A27" activePane="bottomLeft" state="frozen"/>
      <selection pane="bottomLeft"/>
    </sheetView>
  </sheetViews>
  <sheetFormatPr defaultColWidth="8.88671875" defaultRowHeight="12.75" customHeight="1" x14ac:dyDescent="0.25"/>
  <cols>
    <col min="1" max="1" width="7.21875" customWidth="1"/>
    <col min="2" max="2" width="11.77734375" style="29" customWidth="1"/>
    <col min="3" max="3" width="13.33203125" style="40" customWidth="1"/>
    <col min="4" max="4" width="8.77734375" style="41" customWidth="1"/>
    <col min="5" max="6" width="13.33203125" customWidth="1"/>
    <col min="7" max="7" width="13.33203125" style="30" customWidth="1"/>
    <col min="9" max="14" width="8.88671875" customWidth="1"/>
  </cols>
  <sheetData>
    <row r="1" spans="1:14" ht="12.95" customHeight="1" x14ac:dyDescent="0.25">
      <c r="A1" s="9"/>
      <c r="B1" s="10"/>
      <c r="C1" s="31"/>
      <c r="D1" s="32"/>
      <c r="E1" s="1"/>
      <c r="F1" s="1"/>
      <c r="G1" s="11"/>
    </row>
    <row r="2" spans="1:14" ht="18.75" customHeight="1" x14ac:dyDescent="0.25">
      <c r="A2" s="78" t="s">
        <v>11</v>
      </c>
      <c r="B2" s="78"/>
      <c r="C2" s="78"/>
      <c r="D2" s="78"/>
      <c r="E2" s="78"/>
      <c r="F2" s="78"/>
      <c r="G2" s="78"/>
    </row>
    <row r="3" spans="1:14" ht="12.95" customHeight="1" x14ac:dyDescent="0.25">
      <c r="A3" s="12"/>
      <c r="B3" s="12"/>
      <c r="C3" s="33"/>
      <c r="D3" s="34"/>
      <c r="E3" s="12"/>
      <c r="F3" s="12"/>
      <c r="G3" s="12"/>
    </row>
    <row r="4" spans="1:14" s="35" customFormat="1" ht="12.95" customHeight="1" x14ac:dyDescent="0.25">
      <c r="A4" s="79" t="str">
        <f>IF(Inputs!D11="","", Inputs!D11)</f>
        <v/>
      </c>
      <c r="B4" s="79"/>
      <c r="C4" s="79"/>
      <c r="D4" s="79"/>
      <c r="E4" s="79"/>
      <c r="F4" s="79"/>
      <c r="G4" s="79"/>
    </row>
    <row r="5" spans="1:14" s="35" customFormat="1" ht="12.95" customHeight="1" x14ac:dyDescent="0.2">
      <c r="A5" s="80" t="str">
        <f ca="1" xml:space="preserve"> "PREPARED ON " &amp; TEXT(NOW(), "mm/dd/yyyy")</f>
        <v>PREPARED ON 05/02/2024</v>
      </c>
      <c r="B5" s="80"/>
      <c r="C5" s="80"/>
      <c r="D5" s="80"/>
      <c r="E5" s="80"/>
      <c r="F5" s="80"/>
      <c r="G5" s="80"/>
      <c r="I5" s="43"/>
      <c r="J5" s="43"/>
      <c r="K5" s="43"/>
      <c r="L5" s="43"/>
      <c r="M5" s="43"/>
      <c r="N5" s="43"/>
    </row>
    <row r="6" spans="1:14" ht="12.95" customHeight="1" x14ac:dyDescent="0.25">
      <c r="A6" s="9"/>
      <c r="B6" s="10"/>
      <c r="C6" s="31"/>
      <c r="D6" s="32"/>
      <c r="E6" s="1"/>
      <c r="F6" s="1"/>
      <c r="G6" s="11"/>
    </row>
    <row r="7" spans="1:14" ht="45" customHeight="1" thickBot="1" x14ac:dyDescent="0.3">
      <c r="A7" s="16"/>
      <c r="B7" s="17" t="s">
        <v>12</v>
      </c>
      <c r="C7" s="36" t="s">
        <v>13</v>
      </c>
      <c r="D7" s="37" t="s">
        <v>14</v>
      </c>
      <c r="E7" s="16" t="s">
        <v>15</v>
      </c>
      <c r="F7" s="16" t="s">
        <v>16</v>
      </c>
      <c r="G7" s="18" t="s">
        <v>17</v>
      </c>
    </row>
    <row r="8" spans="1:14" ht="18.75" customHeight="1" thickBot="1" x14ac:dyDescent="0.3">
      <c r="A8" s="19" t="s">
        <v>18</v>
      </c>
      <c r="B8" s="20"/>
      <c r="C8" s="21">
        <f ca="1">SUM(C10:C70)</f>
        <v>0</v>
      </c>
      <c r="D8" s="22"/>
      <c r="E8" s="21">
        <f ca="1">SUM(E10:E70)</f>
        <v>0</v>
      </c>
      <c r="F8" s="21">
        <f ca="1">SUM(F10:F70)</f>
        <v>0</v>
      </c>
      <c r="G8" s="21">
        <f ca="1">SUM(G10:G70)</f>
        <v>0</v>
      </c>
    </row>
    <row r="9" spans="1:14" ht="12.75" customHeight="1" x14ac:dyDescent="0.25">
      <c r="A9" s="9"/>
      <c r="B9" s="10"/>
      <c r="C9" s="23"/>
      <c r="D9" s="24"/>
      <c r="E9" s="9"/>
      <c r="F9" s="9"/>
      <c r="G9" s="25"/>
    </row>
    <row r="10" spans="1:14" ht="12.75" customHeight="1" x14ac:dyDescent="0.25">
      <c r="A10" s="9" t="str">
        <f>IF( UPPER(Issue) = "SPRING",1, "")</f>
        <v/>
      </c>
      <c r="B10" s="26" t="str">
        <f>IF(A10="","",Calculations!Y10)</f>
        <v/>
      </c>
      <c r="C10" s="23"/>
      <c r="D10" s="27"/>
      <c r="E10" s="23" t="str">
        <f>IF(A10="","",Calculations!AB10)</f>
        <v/>
      </c>
      <c r="F10" s="23" t="str">
        <f>IF(A10="","",Calculations!AC10)</f>
        <v/>
      </c>
      <c r="G10" s="23" t="str">
        <f>IF(A10="","",Calculations!AD10)</f>
        <v/>
      </c>
    </row>
    <row r="11" spans="1:14" ht="12.75" customHeight="1" x14ac:dyDescent="0.25">
      <c r="A11" s="9">
        <f ca="1">IF(Calculations!Y11&gt;Calculations!$B$6, "",IF(A10="",1,A10+1))</f>
        <v>1</v>
      </c>
      <c r="B11" s="26">
        <f ca="1">IF(A11="","",Calculations!Y11)</f>
        <v>45778</v>
      </c>
      <c r="C11" s="23"/>
      <c r="D11" s="27"/>
      <c r="E11" s="23">
        <f ca="1">IF(A11="","",Calculations!AB11)</f>
        <v>0</v>
      </c>
      <c r="F11" s="23">
        <f ca="1">IF(A11="","",Calculations!AC11)</f>
        <v>0</v>
      </c>
      <c r="G11" s="42" t="str">
        <f ca="1">IF(A11="","",Calculations!AD11)</f>
        <v/>
      </c>
    </row>
    <row r="12" spans="1:14" ht="12.75" customHeight="1" x14ac:dyDescent="0.25">
      <c r="A12" s="9">
        <f ca="1">IF(Calculations!Y12&gt;Calculations!$B$6, "",A11+1)</f>
        <v>2</v>
      </c>
      <c r="B12" s="26">
        <f ca="1">IF(A12="","",Calculations!Y12)</f>
        <v>45962</v>
      </c>
      <c r="C12" s="23">
        <f ca="1">IF(A12="","",Calculations!Z12)</f>
        <v>0</v>
      </c>
      <c r="D12" s="27">
        <f ca="1">IF(A12="","",Calculations!AA12)</f>
        <v>3.8699999999999998E-2</v>
      </c>
      <c r="E12" s="23">
        <f ca="1">IF(A12="","",Calculations!AB12)</f>
        <v>0</v>
      </c>
      <c r="F12" s="23">
        <f ca="1">IF(A12="","",Calculations!AC12)</f>
        <v>0</v>
      </c>
      <c r="G12" s="23">
        <f ca="1">IF(A12="","",Calculations!AD12)</f>
        <v>0</v>
      </c>
    </row>
    <row r="13" spans="1:14" ht="12.75" customHeight="1" x14ac:dyDescent="0.25">
      <c r="A13" s="9">
        <f ca="1">IF(Calculations!Y13&gt;Calculations!$B$6, "",A12+1)</f>
        <v>3</v>
      </c>
      <c r="B13" s="26">
        <f ca="1">IF(A13="","",Calculations!Y13)</f>
        <v>46143</v>
      </c>
      <c r="C13" s="23"/>
      <c r="D13" s="27"/>
      <c r="E13" s="23">
        <f ca="1">IF(A13="","",Calculations!AB13)</f>
        <v>0</v>
      </c>
      <c r="F13" s="23">
        <f ca="1">IF(A13="","",Calculations!AC13)</f>
        <v>0</v>
      </c>
      <c r="G13" s="23" t="str">
        <f ca="1">IF(A13="","",Calculations!AD13)</f>
        <v/>
      </c>
    </row>
    <row r="14" spans="1:14" ht="12.75" customHeight="1" x14ac:dyDescent="0.25">
      <c r="A14" s="9">
        <f ca="1">IF(Calculations!Y14&gt;Calculations!$B$6, "",A13+1)</f>
        <v>4</v>
      </c>
      <c r="B14" s="26">
        <f ca="1">IF(A14="","",Calculations!Y14)</f>
        <v>46327</v>
      </c>
      <c r="C14" s="23">
        <f ca="1">IF(A14="","",Calculations!Z14)</f>
        <v>0</v>
      </c>
      <c r="D14" s="27">
        <f ca="1">IF(A14="","",Calculations!AA14)</f>
        <v>3.7699999999999997E-2</v>
      </c>
      <c r="E14" s="23">
        <f ca="1">IF(A14="","",Calculations!AB14)</f>
        <v>0</v>
      </c>
      <c r="F14" s="23">
        <f ca="1">IF(A14="","",Calculations!AC14)</f>
        <v>0</v>
      </c>
      <c r="G14" s="23">
        <f ca="1">IF(A14="","",Calculations!AD14)</f>
        <v>0</v>
      </c>
    </row>
    <row r="15" spans="1:14" ht="12.75" customHeight="1" x14ac:dyDescent="0.25">
      <c r="A15" s="9">
        <f ca="1">IF(Calculations!Y15&gt;Calculations!$B$6, "",A14+1)</f>
        <v>5</v>
      </c>
      <c r="B15" s="26">
        <f ca="1">IF(A15="","",Calculations!Y15)</f>
        <v>46508</v>
      </c>
      <c r="C15" s="23"/>
      <c r="D15" s="27"/>
      <c r="E15" s="23">
        <f ca="1">IF(A15="","",Calculations!AB15)</f>
        <v>0</v>
      </c>
      <c r="F15" s="23">
        <f ca="1">IF(A15="","",Calculations!AC15)</f>
        <v>0</v>
      </c>
      <c r="G15" s="23" t="str">
        <f ca="1">IF(A15="","",Calculations!AD15)</f>
        <v/>
      </c>
    </row>
    <row r="16" spans="1:14" ht="12.75" customHeight="1" x14ac:dyDescent="0.25">
      <c r="A16" s="9">
        <f ca="1">IF(Calculations!Y16&gt;Calculations!$B$6, "",A15+1)</f>
        <v>6</v>
      </c>
      <c r="B16" s="26">
        <f ca="1">IF(A16="","",Calculations!Y16)</f>
        <v>46692</v>
      </c>
      <c r="C16" s="23">
        <f ca="1">IF(A16="","",Calculations!Z16)</f>
        <v>0</v>
      </c>
      <c r="D16" s="27">
        <f ca="1">IF(A16="","",Calculations!AA16)</f>
        <v>3.6200000000000003E-2</v>
      </c>
      <c r="E16" s="23">
        <f ca="1">IF(A16="","",Calculations!AB16)</f>
        <v>0</v>
      </c>
      <c r="F16" s="23">
        <f ca="1">IF(A16="","",Calculations!AC16)</f>
        <v>0</v>
      </c>
      <c r="G16" s="23">
        <f ca="1">IF(A16="","",Calculations!AD16)</f>
        <v>0</v>
      </c>
    </row>
    <row r="17" spans="1:7" ht="12.75" customHeight="1" x14ac:dyDescent="0.25">
      <c r="A17" s="9">
        <f ca="1">IF(Calculations!Y17&gt;Calculations!$B$6, "",A16+1)</f>
        <v>7</v>
      </c>
      <c r="B17" s="26">
        <f ca="1">IF(A17="","",Calculations!Y17)</f>
        <v>46874</v>
      </c>
      <c r="C17" s="23"/>
      <c r="D17" s="27"/>
      <c r="E17" s="23">
        <f ca="1">IF(A17="","",Calculations!AB17)</f>
        <v>0</v>
      </c>
      <c r="F17" s="23">
        <f ca="1">IF(A17="","",Calculations!AC17)</f>
        <v>0</v>
      </c>
      <c r="G17" s="23" t="str">
        <f ca="1">IF(A17="","",Calculations!AD17)</f>
        <v/>
      </c>
    </row>
    <row r="18" spans="1:7" ht="12.75" customHeight="1" x14ac:dyDescent="0.25">
      <c r="A18" s="9">
        <f ca="1">IF(Calculations!Y18&gt;Calculations!$B$6, "",A17+1)</f>
        <v>8</v>
      </c>
      <c r="B18" s="26">
        <f ca="1">IF(A18="","",Calculations!Y18)</f>
        <v>47058</v>
      </c>
      <c r="C18" s="23">
        <f ca="1">IF(A18="","",Calculations!Z18)</f>
        <v>0</v>
      </c>
      <c r="D18" s="27">
        <f ca="1">IF(A18="","",Calculations!AA18)</f>
        <v>3.5400000000000001E-2</v>
      </c>
      <c r="E18" s="23">
        <f ca="1">IF(A18="","",Calculations!AB18)</f>
        <v>0</v>
      </c>
      <c r="F18" s="23">
        <f ca="1">IF(A18="","",Calculations!AC18)</f>
        <v>0</v>
      </c>
      <c r="G18" s="23">
        <f ca="1">IF(A18="","",Calculations!AD18)</f>
        <v>0</v>
      </c>
    </row>
    <row r="19" spans="1:7" ht="12.75" customHeight="1" x14ac:dyDescent="0.25">
      <c r="A19" s="9">
        <f ca="1">IF(Calculations!Y19&gt;Calculations!$B$6, "",A18+1)</f>
        <v>9</v>
      </c>
      <c r="B19" s="26">
        <f ca="1">IF(A19="","",Calculations!Y19)</f>
        <v>47239</v>
      </c>
      <c r="C19" s="23"/>
      <c r="D19" s="27"/>
      <c r="E19" s="23">
        <f ca="1">IF(A19="","",Calculations!AB19)</f>
        <v>0</v>
      </c>
      <c r="F19" s="23">
        <f ca="1">IF(A19="","",Calculations!AC19)</f>
        <v>0</v>
      </c>
      <c r="G19" s="23" t="str">
        <f ca="1">IF(A19="","",Calculations!AD19)</f>
        <v/>
      </c>
    </row>
    <row r="20" spans="1:7" ht="12.75" customHeight="1" x14ac:dyDescent="0.25">
      <c r="A20" s="9">
        <f ca="1">IF(Calculations!Y20&gt;Calculations!$B$6, "",A19+1)</f>
        <v>10</v>
      </c>
      <c r="B20" s="26">
        <f ca="1">IF(A20="","",Calculations!Y20)</f>
        <v>47423</v>
      </c>
      <c r="C20" s="23">
        <f ca="1">IF(A20="","",Calculations!Z20)</f>
        <v>0</v>
      </c>
      <c r="D20" s="27">
        <f ca="1">IF(A20="","",Calculations!AA20)</f>
        <v>3.5099999999999999E-2</v>
      </c>
      <c r="E20" s="23">
        <f ca="1">IF(A20="","",Calculations!AB20)</f>
        <v>0</v>
      </c>
      <c r="F20" s="23">
        <f ca="1">IF(A20="","",Calculations!AC20)</f>
        <v>0</v>
      </c>
      <c r="G20" s="23">
        <f ca="1">IF(A20="","",Calculations!AD20)</f>
        <v>0</v>
      </c>
    </row>
    <row r="21" spans="1:7" ht="12.75" customHeight="1" x14ac:dyDescent="0.25">
      <c r="A21" s="9">
        <f ca="1">IF(Calculations!Y21&gt;Calculations!$B$6, "",A20+1)</f>
        <v>11</v>
      </c>
      <c r="B21" s="26">
        <f ca="1">IF(A21="","",Calculations!Y21)</f>
        <v>47604</v>
      </c>
      <c r="C21" s="23"/>
      <c r="D21" s="27"/>
      <c r="E21" s="23">
        <f ca="1">IF(A21="","",Calculations!AB21)</f>
        <v>0</v>
      </c>
      <c r="F21" s="23">
        <f ca="1">IF(A21="","",Calculations!AC21)</f>
        <v>0</v>
      </c>
      <c r="G21" s="23" t="str">
        <f ca="1">IF(A21="","",Calculations!AD21)</f>
        <v/>
      </c>
    </row>
    <row r="22" spans="1:7" ht="12.75" customHeight="1" x14ac:dyDescent="0.25">
      <c r="A22" s="9">
        <f ca="1">IF(Calculations!Y22&gt;Calculations!$B$6, "",A21+1)</f>
        <v>12</v>
      </c>
      <c r="B22" s="26">
        <f ca="1">IF(A22="","",Calculations!Y22)</f>
        <v>47788</v>
      </c>
      <c r="C22" s="23">
        <f ca="1">IF(A22="","",Calculations!Z22)</f>
        <v>0</v>
      </c>
      <c r="D22" s="27">
        <f ca="1">IF(A22="","",Calculations!AA22)</f>
        <v>3.5000000000000003E-2</v>
      </c>
      <c r="E22" s="23">
        <f ca="1">IF(A22="","",Calculations!AB22)</f>
        <v>0</v>
      </c>
      <c r="F22" s="23">
        <f ca="1">IF(A22="","",Calculations!AC22)</f>
        <v>0</v>
      </c>
      <c r="G22" s="23">
        <f ca="1">IF(A22="","",Calculations!AD22)</f>
        <v>0</v>
      </c>
    </row>
    <row r="23" spans="1:7" ht="12.75" customHeight="1" x14ac:dyDescent="0.25">
      <c r="A23" s="9">
        <f ca="1">IF(Calculations!Y23&gt;Calculations!$B$6, "",A22+1)</f>
        <v>13</v>
      </c>
      <c r="B23" s="26">
        <f ca="1">IF(A23="","",Calculations!Y23)</f>
        <v>47969</v>
      </c>
      <c r="C23" s="23"/>
      <c r="D23" s="27"/>
      <c r="E23" s="23">
        <f ca="1">IF(A23="","",Calculations!AB23)</f>
        <v>0</v>
      </c>
      <c r="F23" s="23">
        <f ca="1">IF(A23="","",Calculations!AC23)</f>
        <v>0</v>
      </c>
      <c r="G23" s="23" t="str">
        <f ca="1">IF(A23="","",Calculations!AD23)</f>
        <v/>
      </c>
    </row>
    <row r="24" spans="1:7" ht="12.75" customHeight="1" x14ac:dyDescent="0.25">
      <c r="A24" s="9">
        <f ca="1">IF(Calculations!Y24&gt;Calculations!$B$6, "",A23+1)</f>
        <v>14</v>
      </c>
      <c r="B24" s="26">
        <f ca="1">IF(A24="","",Calculations!Y24)</f>
        <v>48153</v>
      </c>
      <c r="C24" s="23">
        <f ca="1">IF(A24="","",Calculations!Z24)</f>
        <v>0</v>
      </c>
      <c r="D24" s="27">
        <f ca="1">IF(A24="","",Calculations!AA24)</f>
        <v>3.5200000000000002E-2</v>
      </c>
      <c r="E24" s="23">
        <f ca="1">IF(A24="","",Calculations!AB24)</f>
        <v>0</v>
      </c>
      <c r="F24" s="23">
        <f ca="1">IF(A24="","",Calculations!AC24)</f>
        <v>0</v>
      </c>
      <c r="G24" s="23">
        <f ca="1">IF(A24="","",Calculations!AD24)</f>
        <v>0</v>
      </c>
    </row>
    <row r="25" spans="1:7" ht="12.75" customHeight="1" x14ac:dyDescent="0.25">
      <c r="A25" s="9">
        <f ca="1">IF(Calculations!Y25&gt;Calculations!$B$6, "",A24+1)</f>
        <v>15</v>
      </c>
      <c r="B25" s="26">
        <f ca="1">IF(A25="","",Calculations!Y25)</f>
        <v>48335</v>
      </c>
      <c r="C25" s="23"/>
      <c r="D25" s="27"/>
      <c r="E25" s="23">
        <f ca="1">IF(A25="","",Calculations!AB25)</f>
        <v>0</v>
      </c>
      <c r="F25" s="23">
        <f ca="1">IF(A25="","",Calculations!AC25)</f>
        <v>0</v>
      </c>
      <c r="G25" s="23" t="str">
        <f ca="1">IF(A25="","",Calculations!AD25)</f>
        <v/>
      </c>
    </row>
    <row r="26" spans="1:7" ht="12.75" customHeight="1" x14ac:dyDescent="0.25">
      <c r="A26" s="9">
        <f ca="1">IF(Calculations!Y26&gt;Calculations!$B$6, "",A25+1)</f>
        <v>16</v>
      </c>
      <c r="B26" s="26">
        <f ca="1">IF(A26="","",Calculations!Y26)</f>
        <v>48519</v>
      </c>
      <c r="C26" s="23">
        <f ca="1">IF(A26="","",Calculations!Z26)</f>
        <v>0</v>
      </c>
      <c r="D26" s="27">
        <f ca="1">IF(A26="","",Calculations!AA26)</f>
        <v>3.5200000000000002E-2</v>
      </c>
      <c r="E26" s="23">
        <f ca="1">IF(A26="","",Calculations!AB26)</f>
        <v>0</v>
      </c>
      <c r="F26" s="23">
        <f ca="1">IF(A26="","",Calculations!AC26)</f>
        <v>0</v>
      </c>
      <c r="G26" s="23">
        <f ca="1">IF(A26="","",Calculations!AD26)</f>
        <v>0</v>
      </c>
    </row>
    <row r="27" spans="1:7" ht="12.75" customHeight="1" x14ac:dyDescent="0.25">
      <c r="A27" s="9">
        <f ca="1">IF(Calculations!Y27&gt;Calculations!$B$6, "",A26+1)</f>
        <v>17</v>
      </c>
      <c r="B27" s="26">
        <f ca="1">IF(A27="","",Calculations!Y27)</f>
        <v>48700</v>
      </c>
      <c r="C27" s="23"/>
      <c r="D27" s="27"/>
      <c r="E27" s="23">
        <f ca="1">IF(A27="","",Calculations!AB27)</f>
        <v>0</v>
      </c>
      <c r="F27" s="23">
        <f ca="1">IF(A27="","",Calculations!AC27)</f>
        <v>0</v>
      </c>
      <c r="G27" s="23" t="str">
        <f ca="1">IF(A27="","",Calculations!AD27)</f>
        <v/>
      </c>
    </row>
    <row r="28" spans="1:7" ht="12.75" customHeight="1" x14ac:dyDescent="0.25">
      <c r="A28" s="9">
        <f ca="1">IF(Calculations!Y28&gt;Calculations!$B$6, "",A27+1)</f>
        <v>18</v>
      </c>
      <c r="B28" s="26">
        <f ca="1">IF(A28="","",Calculations!Y28)</f>
        <v>48884</v>
      </c>
      <c r="C28" s="23">
        <f ca="1">IF(A28="","",Calculations!Z28)</f>
        <v>0</v>
      </c>
      <c r="D28" s="27">
        <f ca="1">IF(A28="","",Calculations!AA28)</f>
        <v>3.5400000000000001E-2</v>
      </c>
      <c r="E28" s="23">
        <f ca="1">IF(A28="","",Calculations!AB28)</f>
        <v>0</v>
      </c>
      <c r="F28" s="23">
        <f ca="1">IF(A28="","",Calculations!AC28)</f>
        <v>0</v>
      </c>
      <c r="G28" s="23">
        <f ca="1">IF(A28="","",Calculations!AD28)</f>
        <v>0</v>
      </c>
    </row>
    <row r="29" spans="1:7" ht="12.75" customHeight="1" x14ac:dyDescent="0.25">
      <c r="A29" s="9">
        <f ca="1">IF(Calculations!Y29&gt;Calculations!$B$6, "",A28+1)</f>
        <v>19</v>
      </c>
      <c r="B29" s="26">
        <f ca="1">IF(A29="","",Calculations!Y29)</f>
        <v>49065</v>
      </c>
      <c r="C29" s="23"/>
      <c r="D29" s="27"/>
      <c r="E29" s="23">
        <f ca="1">IF(A29="","",Calculations!AB29)</f>
        <v>0</v>
      </c>
      <c r="F29" s="23">
        <f ca="1">IF(A29="","",Calculations!AC29)</f>
        <v>0</v>
      </c>
      <c r="G29" s="23" t="str">
        <f ca="1">IF(A29="","",Calculations!AD29)</f>
        <v/>
      </c>
    </row>
    <row r="30" spans="1:7" ht="12.75" customHeight="1" x14ac:dyDescent="0.25">
      <c r="A30" s="9">
        <f ca="1">IF(Calculations!Y30&gt;Calculations!$B$6, "",A29+1)</f>
        <v>20</v>
      </c>
      <c r="B30" s="26">
        <f ca="1">IF(A30="","",Calculations!Y30)</f>
        <v>49249</v>
      </c>
      <c r="C30" s="23">
        <f ca="1">IF(A30="","",Calculations!Z30)</f>
        <v>0</v>
      </c>
      <c r="D30" s="27">
        <f ca="1">IF(A30="","",Calculations!AA30)</f>
        <v>3.5799999999999998E-2</v>
      </c>
      <c r="E30" s="23">
        <f ca="1">IF(A30="","",Calculations!AB30)</f>
        <v>0</v>
      </c>
      <c r="F30" s="23">
        <f ca="1">IF(A30="","",Calculations!AC30)</f>
        <v>0</v>
      </c>
      <c r="G30" s="23">
        <f ca="1">IF(A30="","",Calculations!AD30)</f>
        <v>0</v>
      </c>
    </row>
    <row r="31" spans="1:7" ht="12.75" customHeight="1" x14ac:dyDescent="0.25">
      <c r="A31" s="9">
        <f ca="1">IF(Calculations!Y31&gt;Calculations!$B$6, "",A30+1)</f>
        <v>21</v>
      </c>
      <c r="B31" s="26">
        <f ca="1">IF(A31="","",Calculations!Y31)</f>
        <v>49430</v>
      </c>
      <c r="C31" s="23"/>
      <c r="D31" s="27"/>
      <c r="E31" s="23">
        <f ca="1">IF(A31="","",Calculations!AB31)</f>
        <v>0</v>
      </c>
      <c r="F31" s="23">
        <f ca="1">IF(A31="","",Calculations!AC31)</f>
        <v>0</v>
      </c>
      <c r="G31" s="23" t="str">
        <f ca="1">IF(A31="","",Calculations!AD31)</f>
        <v/>
      </c>
    </row>
    <row r="32" spans="1:7" ht="12.75" customHeight="1" x14ac:dyDescent="0.25">
      <c r="A32" s="9">
        <f ca="1">IF(Calculations!Y32&gt;Calculations!$B$6, "",A31+1)</f>
        <v>22</v>
      </c>
      <c r="B32" s="26">
        <f ca="1">IF(A32="","",Calculations!Y32)</f>
        <v>49614</v>
      </c>
      <c r="C32" s="23">
        <f ca="1">IF(A32="","",Calculations!Z32)</f>
        <v>0</v>
      </c>
      <c r="D32" s="27">
        <f ca="1">IF(A32="","",Calculations!AA32)</f>
        <v>3.7969999999999997E-2</v>
      </c>
      <c r="E32" s="23">
        <f ca="1">IF(A32="","",Calculations!AB32)</f>
        <v>0</v>
      </c>
      <c r="F32" s="23">
        <f ca="1">IF(A32="","",Calculations!AC32)</f>
        <v>0</v>
      </c>
      <c r="G32" s="23">
        <f ca="1">IF(A32="","",Calculations!AD32)</f>
        <v>0</v>
      </c>
    </row>
    <row r="33" spans="1:7" ht="12.75" customHeight="1" x14ac:dyDescent="0.25">
      <c r="A33" s="9">
        <f ca="1">IF(Calculations!Y33&gt;Calculations!$B$6, "",A32+1)</f>
        <v>23</v>
      </c>
      <c r="B33" s="26">
        <f ca="1">IF(A33="","",Calculations!Y33)</f>
        <v>49796</v>
      </c>
      <c r="C33" s="23"/>
      <c r="D33" s="27"/>
      <c r="E33" s="23">
        <f ca="1">IF(A33="","",Calculations!AB33)</f>
        <v>0</v>
      </c>
      <c r="F33" s="23">
        <f ca="1">IF(A33="","",Calculations!AC33)</f>
        <v>0</v>
      </c>
      <c r="G33" s="23" t="str">
        <f ca="1">IF(A33="","",Calculations!AD33)</f>
        <v/>
      </c>
    </row>
    <row r="34" spans="1:7" ht="12.75" customHeight="1" x14ac:dyDescent="0.25">
      <c r="A34" s="9">
        <f ca="1">IF(Calculations!Y34&gt;Calculations!$B$6, "",A33+1)</f>
        <v>24</v>
      </c>
      <c r="B34" s="26">
        <f ca="1">IF(A34="","",Calculations!Y34)</f>
        <v>49980</v>
      </c>
      <c r="C34" s="23">
        <f ca="1">IF(A34="","",Calculations!Z34)</f>
        <v>0</v>
      </c>
      <c r="D34" s="27">
        <f ca="1">IF(A34="","",Calculations!AA34)</f>
        <v>3.9640000000000002E-2</v>
      </c>
      <c r="E34" s="23">
        <f ca="1">IF(A34="","",Calculations!AB34)</f>
        <v>0</v>
      </c>
      <c r="F34" s="23">
        <f ca="1">IF(A34="","",Calculations!AC34)</f>
        <v>0</v>
      </c>
      <c r="G34" s="23">
        <f ca="1">IF(A34="","",Calculations!AD34)</f>
        <v>0</v>
      </c>
    </row>
    <row r="35" spans="1:7" ht="12.75" customHeight="1" x14ac:dyDescent="0.25">
      <c r="A35" s="9">
        <f ca="1">IF(Calculations!Y35&gt;Calculations!$B$6, "",A34+1)</f>
        <v>25</v>
      </c>
      <c r="B35" s="26">
        <f ca="1">IF(A35="","",Calculations!Y35)</f>
        <v>50161</v>
      </c>
      <c r="C35" s="23"/>
      <c r="D35" s="27"/>
      <c r="E35" s="23">
        <f ca="1">IF(A35="","",Calculations!AB35)</f>
        <v>0</v>
      </c>
      <c r="F35" s="23">
        <f ca="1">IF(A35="","",Calculations!AC35)</f>
        <v>0</v>
      </c>
      <c r="G35" s="23" t="str">
        <f ca="1">IF(A35="","",Calculations!AD35)</f>
        <v/>
      </c>
    </row>
    <row r="36" spans="1:7" ht="12.75" customHeight="1" x14ac:dyDescent="0.25">
      <c r="A36" s="9">
        <f ca="1">IF(Calculations!Y36&gt;Calculations!$B$6, "",A35+1)</f>
        <v>26</v>
      </c>
      <c r="B36" s="26">
        <f ca="1">IF(A36="","",Calculations!Y36)</f>
        <v>50345</v>
      </c>
      <c r="C36" s="23">
        <f ca="1">IF(A36="","",Calculations!Z36)</f>
        <v>0</v>
      </c>
      <c r="D36" s="27">
        <f ca="1">IF(A36="","",Calculations!AA36)</f>
        <v>4.1500000000000002E-2</v>
      </c>
      <c r="E36" s="23">
        <f ca="1">IF(A36="","",Calculations!AB36)</f>
        <v>0</v>
      </c>
      <c r="F36" s="23">
        <f ca="1">IF(A36="","",Calculations!AC36)</f>
        <v>0</v>
      </c>
      <c r="G36" s="23">
        <f ca="1">IF(A36="","",Calculations!AD36)</f>
        <v>0</v>
      </c>
    </row>
    <row r="37" spans="1:7" ht="12.75" customHeight="1" x14ac:dyDescent="0.25">
      <c r="A37" s="9">
        <f ca="1">IF(Calculations!Y37&gt;Calculations!$B$6, "",A36+1)</f>
        <v>27</v>
      </c>
      <c r="B37" s="26">
        <f ca="1">IF(A37="","",Calculations!Y37)</f>
        <v>50526</v>
      </c>
      <c r="C37" s="23"/>
      <c r="D37" s="27"/>
      <c r="E37" s="23">
        <f ca="1">IF(A37="","",Calculations!AB37)</f>
        <v>0</v>
      </c>
      <c r="F37" s="23">
        <f ca="1">IF(A37="","",Calculations!AC37)</f>
        <v>0</v>
      </c>
      <c r="G37" s="23" t="str">
        <f ca="1">IF(A37="","",Calculations!AD37)</f>
        <v/>
      </c>
    </row>
    <row r="38" spans="1:7" ht="12.75" customHeight="1" x14ac:dyDescent="0.25">
      <c r="A38" s="9">
        <f ca="1">IF(Calculations!Y38&gt;Calculations!$B$6, "",A37+1)</f>
        <v>28</v>
      </c>
      <c r="B38" s="26">
        <f ca="1">IF(A38="","",Calculations!Y38)</f>
        <v>50710</v>
      </c>
      <c r="C38" s="23">
        <f ca="1">IF(A38="","",Calculations!Z38)</f>
        <v>0</v>
      </c>
      <c r="D38" s="27">
        <f ca="1">IF(A38="","",Calculations!AA38)</f>
        <v>4.258E-2</v>
      </c>
      <c r="E38" s="23">
        <f ca="1">IF(A38="","",Calculations!AB38)</f>
        <v>0</v>
      </c>
      <c r="F38" s="23">
        <f ca="1">IF(A38="","",Calculations!AC38)</f>
        <v>0</v>
      </c>
      <c r="G38" s="23">
        <f ca="1">IF(A38="","",Calculations!AD38)</f>
        <v>0</v>
      </c>
    </row>
    <row r="39" spans="1:7" ht="12.75" customHeight="1" x14ac:dyDescent="0.25">
      <c r="A39" s="9">
        <f ca="1">IF(Calculations!Y39&gt;Calculations!$B$6, "",A38+1)</f>
        <v>29</v>
      </c>
      <c r="B39" s="26">
        <f ca="1">IF(A39="","",Calculations!Y39)</f>
        <v>50891</v>
      </c>
      <c r="C39" s="23"/>
      <c r="D39" s="27"/>
      <c r="E39" s="23">
        <f ca="1">IF(A39="","",Calculations!AB39)</f>
        <v>0</v>
      </c>
      <c r="F39" s="23">
        <f ca="1">IF(A39="","",Calculations!AC39)</f>
        <v>0</v>
      </c>
      <c r="G39" s="23" t="str">
        <f ca="1">IF(A39="","",Calculations!AD39)</f>
        <v/>
      </c>
    </row>
    <row r="40" spans="1:7" ht="12.75" customHeight="1" x14ac:dyDescent="0.25">
      <c r="A40" s="9">
        <f ca="1">IF(Calculations!Y40&gt;Calculations!$B$6, "",A39+1)</f>
        <v>30</v>
      </c>
      <c r="B40" s="26">
        <f ca="1">IF(A40="","",Calculations!Y40)</f>
        <v>51075</v>
      </c>
      <c r="C40" s="23">
        <f ca="1">IF(A40="","",Calculations!Z40)</f>
        <v>0</v>
      </c>
      <c r="D40" s="27">
        <f ca="1">IF(A40="","",Calculations!AA40)</f>
        <v>4.3540000000000002E-2</v>
      </c>
      <c r="E40" s="23">
        <f ca="1">IF(A40="","",Calculations!AB40)</f>
        <v>0</v>
      </c>
      <c r="F40" s="23">
        <f ca="1">IF(A40="","",Calculations!AC40)</f>
        <v>0</v>
      </c>
      <c r="G40" s="23">
        <f ca="1">IF(A40="","",Calculations!AD40)</f>
        <v>0</v>
      </c>
    </row>
    <row r="41" spans="1:7" ht="12.75" customHeight="1" x14ac:dyDescent="0.25">
      <c r="A41" s="9">
        <f ca="1">IF(Calculations!Y41&gt;Calculations!$B$6, "",A40+1)</f>
        <v>31</v>
      </c>
      <c r="B41" s="26">
        <f ca="1">IF(A41="","",Calculations!Y41)</f>
        <v>51257</v>
      </c>
      <c r="C41" s="23"/>
      <c r="D41" s="27"/>
      <c r="E41" s="23">
        <f ca="1">IF(A41="","",Calculations!AB41)</f>
        <v>0</v>
      </c>
      <c r="F41" s="23">
        <f ca="1">IF(A41="","",Calculations!AC41)</f>
        <v>0</v>
      </c>
      <c r="G41" s="23" t="str">
        <f ca="1">IF(A41="","",Calculations!AD41)</f>
        <v/>
      </c>
    </row>
    <row r="42" spans="1:7" ht="12.75" customHeight="1" x14ac:dyDescent="0.25">
      <c r="A42" s="9">
        <f ca="1">IF(Calculations!Y42&gt;Calculations!$B$6, "",A41+1)</f>
        <v>32</v>
      </c>
      <c r="B42" s="26">
        <f ca="1">IF(A42="","",Calculations!Y42)</f>
        <v>51441</v>
      </c>
      <c r="C42" s="23">
        <f ca="1">IF(A42="","",Calculations!Z42)</f>
        <v>0</v>
      </c>
      <c r="D42" s="27">
        <f ca="1">IF(A42="","",Calculations!AA42)</f>
        <v>4.4970000000000003E-2</v>
      </c>
      <c r="E42" s="23">
        <f ca="1">IF(A42="","",Calculations!AB42)</f>
        <v>0</v>
      </c>
      <c r="F42" s="23">
        <f ca="1">IF(A42="","",Calculations!AC42)</f>
        <v>0</v>
      </c>
      <c r="G42" s="23">
        <f ca="1">IF(A42="","",Calculations!AD42)</f>
        <v>0</v>
      </c>
    </row>
    <row r="43" spans="1:7" ht="12.75" customHeight="1" x14ac:dyDescent="0.25">
      <c r="A43" s="9">
        <f ca="1">IF(Calculations!Y43&gt;Calculations!$B$6, "",A42+1)</f>
        <v>33</v>
      </c>
      <c r="B43" s="26">
        <f ca="1">IF(A43="","",Calculations!Y43)</f>
        <v>51622</v>
      </c>
      <c r="C43" s="23"/>
      <c r="D43" s="27"/>
      <c r="E43" s="23">
        <f ca="1">IF(A43="","",Calculations!AB43)</f>
        <v>0</v>
      </c>
      <c r="F43" s="23">
        <f ca="1">IF(A43="","",Calculations!AC43)</f>
        <v>0</v>
      </c>
      <c r="G43" s="23" t="str">
        <f ca="1">IF(A43="","",Calculations!AD43)</f>
        <v/>
      </c>
    </row>
    <row r="44" spans="1:7" ht="12.75" customHeight="1" x14ac:dyDescent="0.25">
      <c r="A44" s="9">
        <f ca="1">IF(Calculations!Y44&gt;Calculations!$B$6, "",A43+1)</f>
        <v>34</v>
      </c>
      <c r="B44" s="26">
        <f ca="1">IF(A44="","",Calculations!Y44)</f>
        <v>51806</v>
      </c>
      <c r="C44" s="23">
        <f ca="1">IF(A44="","",Calculations!Z44)</f>
        <v>0</v>
      </c>
      <c r="D44" s="27">
        <f ca="1">IF(A44="","",Calculations!AA44)</f>
        <v>4.6260000000000003E-2</v>
      </c>
      <c r="E44" s="23">
        <f ca="1">IF(A44="","",Calculations!AB44)</f>
        <v>0</v>
      </c>
      <c r="F44" s="23">
        <f ca="1">IF(A44="","",Calculations!AC44)</f>
        <v>0</v>
      </c>
      <c r="G44" s="23">
        <f ca="1">IF(A44="","",Calculations!AD44)</f>
        <v>0</v>
      </c>
    </row>
    <row r="45" spans="1:7" ht="12.75" customHeight="1" x14ac:dyDescent="0.25">
      <c r="A45" s="9">
        <f ca="1">IF(Calculations!Y45&gt;Calculations!$B$6, "",A44+1)</f>
        <v>35</v>
      </c>
      <c r="B45" s="26">
        <f ca="1">IF(A45="","",Calculations!Y45)</f>
        <v>51987</v>
      </c>
      <c r="C45" s="23"/>
      <c r="D45" s="27"/>
      <c r="E45" s="23">
        <f ca="1">IF(A45="","",Calculations!AB45)</f>
        <v>0</v>
      </c>
      <c r="F45" s="23">
        <f ca="1">IF(A45="","",Calculations!AC45)</f>
        <v>0</v>
      </c>
      <c r="G45" s="23" t="str">
        <f ca="1">IF(A45="","",Calculations!AD45)</f>
        <v/>
      </c>
    </row>
    <row r="46" spans="1:7" ht="12.75" customHeight="1" x14ac:dyDescent="0.25">
      <c r="A46" s="9">
        <f ca="1">IF(Calculations!Y46&gt;Calculations!$B$6, "",A45+1)</f>
        <v>36</v>
      </c>
      <c r="B46" s="26">
        <f ca="1">IF(A46="","",Calculations!Y46)</f>
        <v>52171</v>
      </c>
      <c r="C46" s="23">
        <f ca="1">IF(A46="","",Calculations!Z46)</f>
        <v>0</v>
      </c>
      <c r="D46" s="27">
        <f ca="1">IF(A46="","",Calculations!AA46)</f>
        <v>4.6920000000000003E-2</v>
      </c>
      <c r="E46" s="23">
        <f ca="1">IF(A46="","",Calculations!AB46)</f>
        <v>0</v>
      </c>
      <c r="F46" s="23">
        <f ca="1">IF(A46="","",Calculations!AC46)</f>
        <v>0</v>
      </c>
      <c r="G46" s="23">
        <f ca="1">IF(A46="","",Calculations!AD46)</f>
        <v>0</v>
      </c>
    </row>
    <row r="47" spans="1:7" ht="12.75" customHeight="1" x14ac:dyDescent="0.25">
      <c r="A47" s="9">
        <f ca="1">IF(Calculations!Y47&gt;Calculations!$B$6, "",A46+1)</f>
        <v>37</v>
      </c>
      <c r="B47" s="26">
        <f ca="1">IF(A47="","",Calculations!Y47)</f>
        <v>52352</v>
      </c>
      <c r="C47" s="23"/>
      <c r="D47" s="27"/>
      <c r="E47" s="23">
        <f ca="1">IF(A47="","",Calculations!AB47)</f>
        <v>0</v>
      </c>
      <c r="F47" s="23">
        <f ca="1">IF(A47="","",Calculations!AC47)</f>
        <v>0</v>
      </c>
      <c r="G47" s="23" t="str">
        <f ca="1">IF(A47="","",Calculations!AD47)</f>
        <v/>
      </c>
    </row>
    <row r="48" spans="1:7" ht="12.75" customHeight="1" x14ac:dyDescent="0.25">
      <c r="A48" s="9">
        <f ca="1">IF(Calculations!Y48&gt;Calculations!$B$6, "",A47+1)</f>
        <v>38</v>
      </c>
      <c r="B48" s="26">
        <f ca="1">IF(A48="","",Calculations!Y48)</f>
        <v>52536</v>
      </c>
      <c r="C48" s="23">
        <f ca="1">IF(A48="","",Calculations!Z48)</f>
        <v>0</v>
      </c>
      <c r="D48" s="27">
        <f ca="1">IF(A48="","",Calculations!AA48)</f>
        <v>4.7579999999999997E-2</v>
      </c>
      <c r="E48" s="23">
        <f ca="1">IF(A48="","",Calculations!AB48)</f>
        <v>0</v>
      </c>
      <c r="F48" s="23">
        <f ca="1">IF(A48="","",Calculations!AC48)</f>
        <v>0</v>
      </c>
      <c r="G48" s="23">
        <f ca="1">IF(A48="","",Calculations!AD48)</f>
        <v>0</v>
      </c>
    </row>
    <row r="49" spans="1:7" ht="12.75" customHeight="1" x14ac:dyDescent="0.25">
      <c r="A49" s="9">
        <f ca="1">IF(Calculations!Y49&gt;Calculations!$B$6, "",A48+1)</f>
        <v>39</v>
      </c>
      <c r="B49" s="26">
        <f ca="1">IF(A49="","",Calculations!Y49)</f>
        <v>52718</v>
      </c>
      <c r="C49" s="23"/>
      <c r="D49" s="27"/>
      <c r="E49" s="23">
        <f ca="1">IF(A49="","",Calculations!AB49)</f>
        <v>0</v>
      </c>
      <c r="F49" s="23">
        <f ca="1">IF(A49="","",Calculations!AC49)</f>
        <v>0</v>
      </c>
      <c r="G49" s="23" t="str">
        <f ca="1">IF(A49="","",Calculations!AD49)</f>
        <v/>
      </c>
    </row>
    <row r="50" spans="1:7" ht="12.75" customHeight="1" x14ac:dyDescent="0.25">
      <c r="A50" s="9">
        <f ca="1">IF(Calculations!Y50&gt;Calculations!$B$6, "",A49+1)</f>
        <v>40</v>
      </c>
      <c r="B50" s="26">
        <f ca="1">IF(A50="","",Calculations!Y50)</f>
        <v>52902</v>
      </c>
      <c r="C50" s="23">
        <f ca="1">IF(A50="","",Calculations!Z50)</f>
        <v>0</v>
      </c>
      <c r="D50" s="27">
        <f ca="1">IF(A50="","",Calculations!AA50)</f>
        <v>4.8070000000000002E-2</v>
      </c>
      <c r="E50" s="23">
        <f ca="1">IF(A50="","",Calculations!AB50)</f>
        <v>0</v>
      </c>
      <c r="F50" s="23">
        <f ca="1">IF(A50="","",Calculations!AC50)</f>
        <v>0</v>
      </c>
      <c r="G50" s="23">
        <f ca="1">IF(A50="","",Calculations!AD50)</f>
        <v>0</v>
      </c>
    </row>
    <row r="51" spans="1:7" ht="12.75" customHeight="1" x14ac:dyDescent="0.25">
      <c r="A51" s="9" t="str">
        <f ca="1">IF(Calculations!Y51&gt;Calculations!$B$6, "",A50+1)</f>
        <v/>
      </c>
      <c r="B51" s="26" t="str">
        <f ca="1">IF(A51="","",Calculations!Y51)</f>
        <v/>
      </c>
      <c r="C51" s="23"/>
      <c r="D51" s="27"/>
      <c r="E51" s="23" t="str">
        <f ca="1">IF(A51="","",Calculations!AB51)</f>
        <v/>
      </c>
      <c r="F51" s="23" t="str">
        <f ca="1">IF(A51="","",Calculations!AC51)</f>
        <v/>
      </c>
      <c r="G51" s="23" t="str">
        <f ca="1">IF(A51="","",Calculations!AD51)</f>
        <v/>
      </c>
    </row>
    <row r="52" spans="1:7" ht="12.75" customHeight="1" x14ac:dyDescent="0.25">
      <c r="A52" s="9" t="str">
        <f ca="1">IF(Calculations!Y52&gt;Calculations!$B$6, "",A51+1)</f>
        <v/>
      </c>
      <c r="B52" s="26" t="str">
        <f ca="1">IF(A52="","",Calculations!Y52)</f>
        <v/>
      </c>
      <c r="C52" s="23" t="str">
        <f ca="1">IF(A52="","",Calculations!Z52)</f>
        <v/>
      </c>
      <c r="D52" s="27" t="str">
        <f ca="1">IF(A52="","",Calculations!AA52)</f>
        <v/>
      </c>
      <c r="E52" s="23" t="str">
        <f ca="1">IF(A52="","",Calculations!AB52)</f>
        <v/>
      </c>
      <c r="F52" s="23" t="str">
        <f ca="1">IF(A52="","",Calculations!AC52)</f>
        <v/>
      </c>
      <c r="G52" s="23" t="str">
        <f ca="1">IF(A52="","",Calculations!AD52)</f>
        <v/>
      </c>
    </row>
    <row r="53" spans="1:7" ht="12.75" customHeight="1" x14ac:dyDescent="0.25">
      <c r="A53" s="9" t="str">
        <f ca="1">IF(Calculations!Y53&gt;Calculations!$B$6, "",A52+1)</f>
        <v/>
      </c>
      <c r="B53" s="26" t="str">
        <f ca="1">IF(A53="","",Calculations!Y53)</f>
        <v/>
      </c>
      <c r="C53" s="23"/>
      <c r="D53" s="27"/>
      <c r="E53" s="23" t="str">
        <f ca="1">IF(A53="","",Calculations!AB53)</f>
        <v/>
      </c>
      <c r="F53" s="23" t="str">
        <f ca="1">IF(A53="","",Calculations!AC53)</f>
        <v/>
      </c>
      <c r="G53" s="23" t="str">
        <f ca="1">IF(A53="","",Calculations!AD53)</f>
        <v/>
      </c>
    </row>
    <row r="54" spans="1:7" ht="12.75" customHeight="1" x14ac:dyDescent="0.25">
      <c r="A54" s="9" t="str">
        <f ca="1">IF(Calculations!Y54&gt;Calculations!$B$6, "",A53+1)</f>
        <v/>
      </c>
      <c r="B54" s="26" t="str">
        <f ca="1">IF(A54="","",Calculations!Y54)</f>
        <v/>
      </c>
      <c r="C54" s="23" t="str">
        <f ca="1">IF(A54="","",Calculations!Z54)</f>
        <v/>
      </c>
      <c r="D54" s="27" t="str">
        <f ca="1">IF(A54="","",Calculations!AA54)</f>
        <v/>
      </c>
      <c r="E54" s="23" t="str">
        <f ca="1">IF(A54="","",Calculations!AB54)</f>
        <v/>
      </c>
      <c r="F54" s="23" t="str">
        <f ca="1">IF(A54="","",Calculations!AC54)</f>
        <v/>
      </c>
      <c r="G54" s="23" t="str">
        <f ca="1">IF(A54="","",Calculations!AD54)</f>
        <v/>
      </c>
    </row>
    <row r="55" spans="1:7" ht="12.75" customHeight="1" x14ac:dyDescent="0.25">
      <c r="A55" s="9" t="str">
        <f ca="1">IF(Calculations!Y55&gt;Calculations!$B$6, "",A54+1)</f>
        <v/>
      </c>
      <c r="B55" s="26" t="str">
        <f ca="1">IF(A55="","",Calculations!Y55)</f>
        <v/>
      </c>
      <c r="C55" s="23"/>
      <c r="D55" s="27"/>
      <c r="E55" s="23" t="str">
        <f ca="1">IF(A55="","",Calculations!AB55)</f>
        <v/>
      </c>
      <c r="F55" s="23" t="str">
        <f ca="1">IF(A55="","",Calculations!AC55)</f>
        <v/>
      </c>
      <c r="G55" s="23" t="str">
        <f ca="1">IF(A55="","",Calculations!AD55)</f>
        <v/>
      </c>
    </row>
    <row r="56" spans="1:7" ht="12.75" customHeight="1" x14ac:dyDescent="0.25">
      <c r="A56" s="9" t="str">
        <f ca="1">IF(Calculations!Y56&gt;Calculations!$B$6, "",A55+1)</f>
        <v/>
      </c>
      <c r="B56" s="26" t="str">
        <f ca="1">IF(A56="","",Calculations!Y56)</f>
        <v/>
      </c>
      <c r="C56" s="23" t="str">
        <f ca="1">IF(A56="","",Calculations!Z56)</f>
        <v/>
      </c>
      <c r="D56" s="27" t="str">
        <f ca="1">IF(A56="","",Calculations!AA56)</f>
        <v/>
      </c>
      <c r="E56" s="23" t="str">
        <f ca="1">IF(A56="","",Calculations!AB56)</f>
        <v/>
      </c>
      <c r="F56" s="23" t="str">
        <f ca="1">IF(A56="","",Calculations!AC56)</f>
        <v/>
      </c>
      <c r="G56" s="23" t="str">
        <f ca="1">IF(A56="","",Calculations!AD56)</f>
        <v/>
      </c>
    </row>
    <row r="57" spans="1:7" ht="12.75" customHeight="1" x14ac:dyDescent="0.25">
      <c r="A57" s="9" t="str">
        <f ca="1">IF(Calculations!Y57&gt;Calculations!$B$6, "",A56+1)</f>
        <v/>
      </c>
      <c r="B57" s="26" t="str">
        <f ca="1">IF(A57="","",Calculations!Y57)</f>
        <v/>
      </c>
      <c r="C57" s="23"/>
      <c r="D57" s="27"/>
      <c r="E57" s="23" t="str">
        <f ca="1">IF(A57="","",Calculations!AB57)</f>
        <v/>
      </c>
      <c r="F57" s="23" t="str">
        <f ca="1">IF(A57="","",Calculations!AC57)</f>
        <v/>
      </c>
      <c r="G57" s="23" t="str">
        <f ca="1">IF(A57="","",Calculations!AD57)</f>
        <v/>
      </c>
    </row>
    <row r="58" spans="1:7" ht="12.75" customHeight="1" x14ac:dyDescent="0.25">
      <c r="A58" s="9" t="str">
        <f ca="1">IF(Calculations!Y58&gt;Calculations!$B$6, "",A57+1)</f>
        <v/>
      </c>
      <c r="B58" s="26" t="str">
        <f ca="1">IF(A58="","",Calculations!Y58)</f>
        <v/>
      </c>
      <c r="C58" s="23" t="str">
        <f ca="1">IF(A58="","",Calculations!Z58)</f>
        <v/>
      </c>
      <c r="D58" s="27" t="str">
        <f ca="1">IF(A58="","",Calculations!AA58)</f>
        <v/>
      </c>
      <c r="E58" s="23" t="str">
        <f ca="1">IF(A58="","",Calculations!AB58)</f>
        <v/>
      </c>
      <c r="F58" s="23" t="str">
        <f ca="1">IF(A58="","",Calculations!AC58)</f>
        <v/>
      </c>
      <c r="G58" s="23" t="str">
        <f ca="1">IF(A58="","",Calculations!AD58)</f>
        <v/>
      </c>
    </row>
    <row r="59" spans="1:7" ht="12.75" customHeight="1" x14ac:dyDescent="0.25">
      <c r="A59" s="9" t="str">
        <f ca="1">IF(Calculations!Y59&gt;Calculations!$B$6, "",A58+1)</f>
        <v/>
      </c>
      <c r="B59" s="26" t="str">
        <f ca="1">IF(A59="","",Calculations!Y59)</f>
        <v/>
      </c>
      <c r="C59" s="23"/>
      <c r="D59" s="27"/>
      <c r="E59" s="23" t="str">
        <f ca="1">IF(A59="","",Calculations!AB59)</f>
        <v/>
      </c>
      <c r="F59" s="23" t="str">
        <f ca="1">IF(A59="","",Calculations!AC59)</f>
        <v/>
      </c>
      <c r="G59" s="23" t="str">
        <f ca="1">IF(A59="","",Calculations!AD59)</f>
        <v/>
      </c>
    </row>
    <row r="60" spans="1:7" ht="12.75" customHeight="1" x14ac:dyDescent="0.25">
      <c r="A60" s="9" t="str">
        <f ca="1">IF(Calculations!Y60&gt;Calculations!$B$6, "",A59+1)</f>
        <v/>
      </c>
      <c r="B60" s="26" t="str">
        <f ca="1">IF(A60="","",Calculations!Y60)</f>
        <v/>
      </c>
      <c r="C60" s="23" t="str">
        <f ca="1">IF(A60="","",Calculations!Z60)</f>
        <v/>
      </c>
      <c r="D60" s="27" t="str">
        <f ca="1">IF(A60="","",Calculations!AA60)</f>
        <v/>
      </c>
      <c r="E60" s="23" t="str">
        <f ca="1">IF(A60="","",Calculations!AB60)</f>
        <v/>
      </c>
      <c r="F60" s="23" t="str">
        <f ca="1">IF(A60="","",Calculations!AC60)</f>
        <v/>
      </c>
      <c r="G60" s="23" t="str">
        <f ca="1">IF(A60="","",Calculations!AD60)</f>
        <v/>
      </c>
    </row>
    <row r="61" spans="1:7" ht="12.75" customHeight="1" x14ac:dyDescent="0.25">
      <c r="A61" s="9" t="str">
        <f ca="1">IF(Calculations!Y61&gt;Calculations!$B$6, "",A60+1)</f>
        <v/>
      </c>
      <c r="B61" s="26" t="str">
        <f ca="1">IF(A61="","",Calculations!Y61)</f>
        <v/>
      </c>
      <c r="C61" s="23"/>
      <c r="D61" s="27"/>
      <c r="E61" s="23" t="str">
        <f ca="1">IF(A61="","",Calculations!AB61)</f>
        <v/>
      </c>
      <c r="F61" s="23" t="str">
        <f ca="1">IF(A61="","",Calculations!AC61)</f>
        <v/>
      </c>
      <c r="G61" s="23" t="str">
        <f ca="1">IF(A61="","",Calculations!AD61)</f>
        <v/>
      </c>
    </row>
    <row r="62" spans="1:7" ht="12.75" customHeight="1" x14ac:dyDescent="0.25">
      <c r="A62" s="9" t="str">
        <f ca="1">IF(Calculations!Y62&gt;Calculations!$B$6, "",A61+1)</f>
        <v/>
      </c>
      <c r="B62" s="26" t="str">
        <f ca="1">IF(A62="","",Calculations!Y62)</f>
        <v/>
      </c>
      <c r="C62" s="23" t="str">
        <f ca="1">IF(A62="","",Calculations!Z62)</f>
        <v/>
      </c>
      <c r="D62" s="27" t="str">
        <f ca="1">IF(A62="","",Calculations!AA62)</f>
        <v/>
      </c>
      <c r="E62" s="23" t="str">
        <f ca="1">IF(A62="","",Calculations!AB62)</f>
        <v/>
      </c>
      <c r="F62" s="23" t="str">
        <f ca="1">IF(A62="","",Calculations!AC62)</f>
        <v/>
      </c>
      <c r="G62" s="23" t="str">
        <f ca="1">IF(A62="","",Calculations!AD62)</f>
        <v/>
      </c>
    </row>
    <row r="63" spans="1:7" ht="12.75" customHeight="1" x14ac:dyDescent="0.25">
      <c r="A63" s="9" t="str">
        <f ca="1">IF(Calculations!Y63&gt;Calculations!$B$6, "",A62+1)</f>
        <v/>
      </c>
      <c r="B63" s="26" t="str">
        <f ca="1">IF(A63="","",Calculations!Y63)</f>
        <v/>
      </c>
      <c r="C63" s="23"/>
      <c r="D63" s="27"/>
      <c r="E63" s="23" t="str">
        <f ca="1">IF(A63="","",Calculations!AB63)</f>
        <v/>
      </c>
      <c r="F63" s="23" t="str">
        <f ca="1">IF(A63="","",Calculations!AC63)</f>
        <v/>
      </c>
      <c r="G63" s="23" t="str">
        <f ca="1">IF(A63="","",Calculations!AD63)</f>
        <v/>
      </c>
    </row>
    <row r="64" spans="1:7" ht="12.75" customHeight="1" x14ac:dyDescent="0.25">
      <c r="A64" s="9" t="str">
        <f ca="1">IF(Calculations!Y64&gt;Calculations!$B$6, "",A63+1)</f>
        <v/>
      </c>
      <c r="B64" s="26" t="str">
        <f ca="1">IF(A64="","",Calculations!Y64)</f>
        <v/>
      </c>
      <c r="C64" s="23" t="str">
        <f ca="1">IF(A64="","",Calculations!Z64)</f>
        <v/>
      </c>
      <c r="D64" s="27" t="str">
        <f ca="1">IF(A64="","",Calculations!AA64)</f>
        <v/>
      </c>
      <c r="E64" s="23" t="str">
        <f ca="1">IF(A64="","",Calculations!AB64)</f>
        <v/>
      </c>
      <c r="F64" s="23" t="str">
        <f ca="1">IF(A64="","",Calculations!AC64)</f>
        <v/>
      </c>
      <c r="G64" s="23" t="str">
        <f ca="1">IF(A64="","",Calculations!AD64)</f>
        <v/>
      </c>
    </row>
    <row r="65" spans="1:7" ht="12.75" customHeight="1" x14ac:dyDescent="0.25">
      <c r="A65" s="9" t="str">
        <f ca="1">IF(Calculations!Y65&gt;Calculations!$B$6, "",A64+1)</f>
        <v/>
      </c>
      <c r="B65" s="26" t="str">
        <f ca="1">IF(A65="","",Calculations!Y65)</f>
        <v/>
      </c>
      <c r="C65" s="23"/>
      <c r="D65" s="27"/>
      <c r="E65" s="23" t="str">
        <f ca="1">IF(A65="","",Calculations!AB65)</f>
        <v/>
      </c>
      <c r="F65" s="23" t="str">
        <f ca="1">IF(A65="","",Calculations!AC65)</f>
        <v/>
      </c>
      <c r="G65" s="23" t="str">
        <f ca="1">IF(A65="","",Calculations!AD65)</f>
        <v/>
      </c>
    </row>
    <row r="66" spans="1:7" ht="12.75" customHeight="1" x14ac:dyDescent="0.25">
      <c r="A66" s="9" t="str">
        <f ca="1">IF(Calculations!Y66&gt;Calculations!$B$6, "",A65+1)</f>
        <v/>
      </c>
      <c r="B66" s="26" t="str">
        <f ca="1">IF(A66="","",Calculations!Y66)</f>
        <v/>
      </c>
      <c r="C66" s="23" t="str">
        <f ca="1">IF(A66="","",Calculations!Z66)</f>
        <v/>
      </c>
      <c r="D66" s="27" t="str">
        <f ca="1">IF(A66="","",Calculations!AA66)</f>
        <v/>
      </c>
      <c r="E66" s="23" t="str">
        <f ca="1">IF(A66="","",Calculations!AB66)</f>
        <v/>
      </c>
      <c r="F66" s="23" t="str">
        <f ca="1">IF(A66="","",Calculations!AC66)</f>
        <v/>
      </c>
      <c r="G66" s="23" t="str">
        <f ca="1">IF(A66="","",Calculations!AD66)</f>
        <v/>
      </c>
    </row>
    <row r="67" spans="1:7" ht="12.75" customHeight="1" x14ac:dyDescent="0.25">
      <c r="A67" s="9" t="str">
        <f ca="1">IF(Calculations!Y67&gt;Calculations!$B$6, "",A66+1)</f>
        <v/>
      </c>
      <c r="B67" s="26" t="str">
        <f ca="1">IF(A67="","",Calculations!Y67)</f>
        <v/>
      </c>
      <c r="C67" s="23"/>
      <c r="D67" s="27"/>
      <c r="E67" s="23" t="str">
        <f ca="1">IF(A67="","",Calculations!AB67)</f>
        <v/>
      </c>
      <c r="F67" s="23" t="str">
        <f ca="1">IF(A67="","",Calculations!AC67)</f>
        <v/>
      </c>
      <c r="G67" s="23" t="str">
        <f ca="1">IF(A67="","",Calculations!AD67)</f>
        <v/>
      </c>
    </row>
    <row r="68" spans="1:7" ht="12.75" customHeight="1" x14ac:dyDescent="0.25">
      <c r="A68" s="9" t="str">
        <f ca="1">IF(Calculations!Y68&gt;Calculations!$B$6, "",A67+1)</f>
        <v/>
      </c>
      <c r="B68" s="26" t="str">
        <f ca="1">IF(A68="","",Calculations!Y68)</f>
        <v/>
      </c>
      <c r="C68" s="23" t="str">
        <f ca="1">IF(A68="","",Calculations!Z68)</f>
        <v/>
      </c>
      <c r="D68" s="27" t="str">
        <f ca="1">IF(A68="","",Calculations!AA68)</f>
        <v/>
      </c>
      <c r="E68" s="23" t="str">
        <f ca="1">IF(A68="","",Calculations!AB68)</f>
        <v/>
      </c>
      <c r="F68" s="23" t="str">
        <f ca="1">IF(A68="","",Calculations!AC68)</f>
        <v/>
      </c>
      <c r="G68" s="23" t="str">
        <f ca="1">IF(A68="","",Calculations!AD68)</f>
        <v/>
      </c>
    </row>
    <row r="69" spans="1:7" ht="12.75" customHeight="1" x14ac:dyDescent="0.25">
      <c r="A69" s="9" t="str">
        <f ca="1">IF(Calculations!Y69&gt;Calculations!$B$6, "",A68+1)</f>
        <v/>
      </c>
      <c r="B69" s="26" t="str">
        <f ca="1">IF(A69="","",Calculations!Y69)</f>
        <v/>
      </c>
      <c r="C69" s="23"/>
      <c r="D69" s="27"/>
      <c r="E69" s="23" t="str">
        <f ca="1">IF(A69="","",Calculations!AB69)</f>
        <v/>
      </c>
      <c r="F69" s="23" t="str">
        <f ca="1">IF(A69="","",Calculations!AC69)</f>
        <v/>
      </c>
      <c r="G69" s="23" t="str">
        <f ca="1">IF(A69="","",Calculations!AD69)</f>
        <v/>
      </c>
    </row>
    <row r="70" spans="1:7" ht="12.75" customHeight="1" x14ac:dyDescent="0.25">
      <c r="A70" s="9" t="str">
        <f ca="1">IF(Calculations!Y70&gt;Calculations!$B$6, "",A69+1)</f>
        <v/>
      </c>
      <c r="B70" s="26" t="str">
        <f ca="1">IF(A70="","",Calculations!Y70)</f>
        <v/>
      </c>
      <c r="C70" s="23" t="str">
        <f ca="1">IF(A70="","",Calculations!Z70)</f>
        <v/>
      </c>
      <c r="D70" s="27" t="str">
        <f ca="1">IF(A70="","",Calculations!AA70)</f>
        <v/>
      </c>
      <c r="E70" s="23" t="str">
        <f ca="1">IF(A70="","",Calculations!AB70)</f>
        <v/>
      </c>
      <c r="F70" s="23" t="str">
        <f ca="1">IF(A70="","",Calculations!AC70)</f>
        <v/>
      </c>
      <c r="G70" s="23" t="str">
        <f ca="1">IF(A70="","",Calculations!AD70)</f>
        <v/>
      </c>
    </row>
    <row r="71" spans="1:7" ht="12.75" customHeight="1" x14ac:dyDescent="0.25">
      <c r="A71" s="9"/>
      <c r="B71" s="10"/>
      <c r="C71" s="38"/>
      <c r="D71" s="32"/>
      <c r="E71" s="1"/>
      <c r="F71" s="1"/>
      <c r="G71" s="11"/>
    </row>
    <row r="72" spans="1:7" ht="12.75" customHeight="1" x14ac:dyDescent="0.25">
      <c r="A72" s="9"/>
      <c r="B72" s="10"/>
      <c r="C72" s="38"/>
      <c r="D72" s="32"/>
      <c r="E72" s="6"/>
      <c r="F72" s="6"/>
      <c r="G72" s="6"/>
    </row>
    <row r="73" spans="1:7" ht="12.75" customHeight="1" x14ac:dyDescent="0.25">
      <c r="A73" s="9"/>
      <c r="B73" s="10"/>
      <c r="C73" s="31"/>
      <c r="D73" s="32"/>
      <c r="E73" s="6"/>
      <c r="F73" s="6"/>
      <c r="G73" s="11"/>
    </row>
    <row r="74" spans="1:7" ht="13.5" customHeight="1" x14ac:dyDescent="0.25">
      <c r="B74" s="28"/>
      <c r="C74" s="39"/>
      <c r="D74" s="32"/>
      <c r="E74" s="1"/>
      <c r="F74" s="1"/>
      <c r="G74" s="11"/>
    </row>
  </sheetData>
  <sheetProtection algorithmName="SHA-512" hashValue="VUo0T4D51OBZAb/z6hs3g6Nx17dcgVMDWyoX2P5MGZ0nm5cLhZHTsv/2BZwo+gsUe32pAZcNk+9g5d7ZJuGoNg==" saltValue="O8dsryE2YSVIH7+iX4TZsg==" spinCount="100000" sheet="1" objects="1" scenarios="1" formatCells="0" formatColumns="0" formatRows="0"/>
  <mergeCells count="3">
    <mergeCell ref="A2:G2"/>
    <mergeCell ref="A4:G4"/>
    <mergeCell ref="A5:G5"/>
  </mergeCells>
  <pageMargins left="0.75" right="0.75" top="0.25" bottom="0.25" header="0.5" footer="0.5"/>
  <pageSetup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2:AE119"/>
  <sheetViews>
    <sheetView topLeftCell="A1048576" workbookViewId="0">
      <selection sqref="A1:XFD1048576"/>
    </sheetView>
  </sheetViews>
  <sheetFormatPr defaultColWidth="7.77734375" defaultRowHeight="12.75" zeroHeight="1" x14ac:dyDescent="0.2"/>
  <cols>
    <col min="1" max="1" width="16.21875" style="46" customWidth="1"/>
    <col min="2" max="2" width="7.109375" style="45" customWidth="1"/>
    <col min="3" max="3" width="7.77734375" style="45" customWidth="1"/>
    <col min="4" max="4" width="5.6640625" style="46" customWidth="1"/>
    <col min="5" max="6" width="4" style="46" customWidth="1"/>
    <col min="7" max="7" width="5.44140625" style="46" customWidth="1"/>
    <col min="8" max="8" width="4" style="46" customWidth="1"/>
    <col min="9" max="9" width="6.21875" style="46" customWidth="1"/>
    <col min="10" max="11" width="4" style="46" customWidth="1"/>
    <col min="12" max="12" width="5.6640625" style="46" customWidth="1"/>
    <col min="13" max="14" width="10.33203125" style="46" customWidth="1"/>
    <col min="15" max="15" width="11.109375" style="46" customWidth="1"/>
    <col min="16" max="16" width="10" style="46" customWidth="1"/>
    <col min="17" max="17" width="7.77734375" style="46" customWidth="1"/>
    <col min="18" max="18" width="7.109375" style="46" customWidth="1"/>
    <col min="19" max="19" width="8.21875" style="46" customWidth="1"/>
    <col min="20" max="20" width="5.6640625" style="46" customWidth="1"/>
    <col min="21" max="21" width="7.6640625" style="46" customWidth="1"/>
    <col min="22" max="22" width="5.21875" style="46" customWidth="1"/>
    <col min="23" max="23" width="10.77734375" style="46" customWidth="1"/>
    <col min="24" max="24" width="7.77734375" style="46" customWidth="1"/>
    <col min="25" max="25" width="7.109375" style="46" customWidth="1"/>
    <col min="26" max="26" width="9.109375" style="46" customWidth="1"/>
    <col min="27" max="27" width="5.6640625" style="46" customWidth="1"/>
    <col min="28" max="28" width="7.6640625" style="46" customWidth="1"/>
    <col min="29" max="29" width="5.21875" style="46" customWidth="1"/>
    <col min="30" max="30" width="10.77734375" style="46" customWidth="1"/>
    <col min="31" max="31" width="7.77734375" style="46"/>
    <col min="32" max="16384" width="7.77734375" style="1"/>
  </cols>
  <sheetData>
    <row r="2" spans="1:30" hidden="1" x14ac:dyDescent="0.2">
      <c r="A2" s="44" t="s">
        <v>56</v>
      </c>
    </row>
    <row r="3" spans="1:30" hidden="1" x14ac:dyDescent="0.2">
      <c r="A3" s="47" t="s">
        <v>57</v>
      </c>
      <c r="B3" s="48">
        <f ca="1">DATEVALUE(IF(UPPER(Inputs!D17)="FALL","11/1/"&amp;IF(MONTH(TODAY())&gt;10,YEAR(TODAY())+1,YEAR(TODAY())),"6/1/"&amp;IF(MONTH(TODAY())&gt;5,YEAR(TODAY())+1,YEAR(TODAY()))))</f>
        <v>45597</v>
      </c>
    </row>
    <row r="4" spans="1:30" hidden="1" x14ac:dyDescent="0.2">
      <c r="A4" s="47" t="s">
        <v>58</v>
      </c>
      <c r="B4" s="48">
        <f ca="1">DATEVALUE(IF(UPPER(Inputs!D17)="FALL","5/1/" &amp; YEAR(DatedDate)+1,"11/1/" &amp; YEAR(DatedDate)))</f>
        <v>45778</v>
      </c>
      <c r="F4" s="49"/>
    </row>
    <row r="5" spans="1:30" hidden="1" x14ac:dyDescent="0.2">
      <c r="A5" s="47" t="s">
        <v>59</v>
      </c>
      <c r="B5" s="48">
        <f ca="1">DATEVALUE(IF(UPPER(Inputs!D17)="FALL", "11/1/" &amp; YEAR(FirstCoupon), "11/1/" &amp; YEAR(FirstCoupon)+1))</f>
        <v>45962</v>
      </c>
      <c r="R5" s="81" t="s">
        <v>68</v>
      </c>
      <c r="S5" s="81"/>
      <c r="T5" s="81"/>
      <c r="U5" s="81"/>
      <c r="V5" s="81"/>
      <c r="W5" s="81"/>
      <c r="Y5" s="81" t="s">
        <v>69</v>
      </c>
      <c r="Z5" s="81"/>
      <c r="AA5" s="81"/>
      <c r="AB5" s="81"/>
      <c r="AC5" s="81"/>
      <c r="AD5" s="81"/>
    </row>
    <row r="6" spans="1:30" hidden="1" x14ac:dyDescent="0.2">
      <c r="A6" s="47" t="s">
        <v>60</v>
      </c>
      <c r="B6" s="48">
        <f ca="1">DATEVALUE("11/1/" &amp; YEAR(FirstMaturity) +NoYears-1)</f>
        <v>52902</v>
      </c>
    </row>
    <row r="7" spans="1:30" ht="27" hidden="1" customHeight="1" thickBot="1" x14ac:dyDescent="0.25">
      <c r="D7" s="81" t="s">
        <v>71</v>
      </c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R7" s="50" t="s">
        <v>12</v>
      </c>
      <c r="S7" s="51" t="s">
        <v>13</v>
      </c>
      <c r="T7" s="51" t="s">
        <v>14</v>
      </c>
      <c r="U7" s="51" t="s">
        <v>15</v>
      </c>
      <c r="V7" s="51" t="s">
        <v>16</v>
      </c>
      <c r="W7" s="52" t="s">
        <v>70</v>
      </c>
      <c r="Y7" s="50" t="s">
        <v>12</v>
      </c>
      <c r="Z7" s="53" t="s">
        <v>13</v>
      </c>
      <c r="AA7" s="54" t="s">
        <v>14</v>
      </c>
      <c r="AB7" s="51" t="s">
        <v>15</v>
      </c>
      <c r="AC7" s="51" t="s">
        <v>16</v>
      </c>
      <c r="AD7" s="52" t="s">
        <v>70</v>
      </c>
    </row>
    <row r="8" spans="1:30" ht="15.75" hidden="1" x14ac:dyDescent="0.25">
      <c r="A8" s="44" t="s">
        <v>19</v>
      </c>
      <c r="Y8" s="55"/>
      <c r="Z8" s="55"/>
      <c r="AA8" s="55"/>
      <c r="AB8" s="55"/>
      <c r="AC8" s="55"/>
      <c r="AD8" s="55"/>
    </row>
    <row r="9" spans="1:30" ht="15.75" hidden="1" x14ac:dyDescent="0.25">
      <c r="A9" s="46" t="s">
        <v>20</v>
      </c>
      <c r="B9" s="56"/>
      <c r="E9" s="45" t="s">
        <v>27</v>
      </c>
      <c r="F9" s="45" t="s">
        <v>28</v>
      </c>
      <c r="G9" s="45" t="s">
        <v>29</v>
      </c>
      <c r="H9" s="45" t="s">
        <v>30</v>
      </c>
      <c r="I9" s="45" t="s">
        <v>31</v>
      </c>
      <c r="Y9" s="55"/>
      <c r="Z9" s="55"/>
      <c r="AA9" s="55"/>
      <c r="AB9" s="55"/>
      <c r="AC9" s="55"/>
      <c r="AD9" s="55"/>
    </row>
    <row r="10" spans="1:30" hidden="1" x14ac:dyDescent="0.2">
      <c r="A10" s="46" t="s">
        <v>21</v>
      </c>
      <c r="B10" s="57">
        <v>3.8699999999999998E-2</v>
      </c>
      <c r="D10" s="58">
        <f>IF(NoYears&gt;0,Calculations!T12,0)</f>
        <v>3.8699999999999998E-2</v>
      </c>
      <c r="E10" s="59">
        <f ca="1">F10</f>
        <v>0</v>
      </c>
      <c r="F10" s="60">
        <f ca="1">Inputs!$D$13/$M$41*$M10</f>
        <v>0</v>
      </c>
      <c r="G10" s="61">
        <f ca="1">TRUNC(F10)</f>
        <v>0</v>
      </c>
      <c r="H10" s="59">
        <f ca="1">G10</f>
        <v>0</v>
      </c>
      <c r="I10" s="60">
        <f ca="1">E10-H10</f>
        <v>0</v>
      </c>
      <c r="J10" s="60">
        <f ca="1">G10*D10+J11</f>
        <v>0</v>
      </c>
      <c r="K10" s="60">
        <f t="shared" ref="K10:K39" ca="1" si="0">G10+J10</f>
        <v>0</v>
      </c>
      <c r="L10" s="58">
        <f t="shared" ref="L10:L39" si="1">D10</f>
        <v>3.8699999999999998E-2</v>
      </c>
      <c r="M10" s="60">
        <f ca="1">IF(OR(Calculations!$B$5&gt;Calculations!R12,Calculations!R12&gt;Calculations!$B$6),0,($P$41-N11)/(L10+1))</f>
        <v>2285183.4979950488</v>
      </c>
      <c r="N10" s="60">
        <f ca="1">M10*L10+N11</f>
        <v>2714816.5020049512</v>
      </c>
      <c r="O10" s="60">
        <f t="shared" ref="O10:O39" ca="1" si="2">M10+N10</f>
        <v>5000000</v>
      </c>
      <c r="P10" s="59">
        <v>1664426.7204890293</v>
      </c>
      <c r="R10" s="48" t="str">
        <f>IF(UPPER(Issue)="SPRING",Calculations!B4,"")</f>
        <v/>
      </c>
      <c r="U10" s="62" t="str">
        <f>IF(UPPER(Issue)="SPRING",ROUND(IF('Level Debt'!A11&lt;&gt;"",U11,U12)*(ROUNDDOWN((R10-Calculations!B3+1)*(360/365),0))/180,2),"")</f>
        <v/>
      </c>
      <c r="V10" s="60" t="str">
        <f>IF(UPPER(Issue) = "SPRING",U10,"")</f>
        <v/>
      </c>
      <c r="W10" s="63" t="str">
        <f>IF(R10="","",IF(OR(Inputs!D19="03/31",Inputs!D19="12/31"),V10,""))</f>
        <v/>
      </c>
      <c r="Y10" s="48" t="str">
        <f>IF(UPPER(Issue)="SPRING",Calculations!B4,"")</f>
        <v/>
      </c>
      <c r="AB10" s="64" t="str">
        <f>IF(UPPER(Issue) = "SPRING", ROUND(IF('Level Principal'!A11&lt;&gt;"",AB11,AB12)*(ROUNDDOWN((Y10-Calculations!B3+1)*(360/365),0))/180,2),"")</f>
        <v/>
      </c>
      <c r="AC10" s="60" t="str">
        <f>IF(UPPER(Issue) = "SPRING",AB10,"")</f>
        <v/>
      </c>
      <c r="AD10" s="63" t="str">
        <f>IF(Y10="","",IF(OR(Inputs!D19="03/31",Inputs!D19="12/31"),AC10,""))</f>
        <v/>
      </c>
    </row>
    <row r="11" spans="1:30" hidden="1" x14ac:dyDescent="0.2">
      <c r="A11" s="46" t="s">
        <v>22</v>
      </c>
      <c r="B11" s="57">
        <v>3.7699999999999997E-2</v>
      </c>
      <c r="D11" s="58">
        <f>IF(NoYears&gt;1,Calculations!T14,0)</f>
        <v>3.7699999999999997E-2</v>
      </c>
      <c r="E11" s="60">
        <f t="shared" ref="E11:E38" ca="1" si="3">E10+F11</f>
        <v>0</v>
      </c>
      <c r="F11" s="60">
        <f ca="1">Inputs!$D$13/$M$41*$M11</f>
        <v>0</v>
      </c>
      <c r="G11" s="60">
        <f ca="1">IF(I10&gt;0.5,TRUNC(F11)+1,TRUNC(F11))</f>
        <v>0</v>
      </c>
      <c r="H11" s="60">
        <f t="shared" ref="H11:H39" ca="1" si="4">H10+G11</f>
        <v>0</v>
      </c>
      <c r="I11" s="60">
        <f t="shared" ref="I11:I38" ca="1" si="5">E11-H11</f>
        <v>0</v>
      </c>
      <c r="J11" s="60">
        <f ca="1">G11*D11+J12</f>
        <v>0</v>
      </c>
      <c r="K11" s="60">
        <f t="shared" ca="1" si="0"/>
        <v>0</v>
      </c>
      <c r="L11" s="58">
        <f t="shared" si="1"/>
        <v>3.7699999999999997E-2</v>
      </c>
      <c r="M11" s="60">
        <f ca="1">IF(OR(Calculations!$B$5&gt;Calculations!R14,Calculations!R14&gt;Calculations!$B$6),0,($P$41-N12)/(L11+1))</f>
        <v>2373620.099367457</v>
      </c>
      <c r="N11" s="60">
        <f ca="1">M11*L11+N12</f>
        <v>2626379.900632543</v>
      </c>
      <c r="O11" s="60">
        <f t="shared" ca="1" si="2"/>
        <v>5000000</v>
      </c>
      <c r="P11" s="59">
        <v>1697715.2548988098</v>
      </c>
      <c r="R11" s="48">
        <f ca="1">IF(UPPER(Issue)="SPRING",DATE(YEAR(R10),MONTH(R10)+6,DAY(R10)),FirstCoupon)</f>
        <v>45778</v>
      </c>
      <c r="U11" s="62">
        <f ca="1">IF(UPPER(Issue)="SPRING",U12,ROUND(U12*(ROUNDDOWN((R11-Calculations!B3+1)*(360/365),0))/180,2))</f>
        <v>0</v>
      </c>
      <c r="V11" s="60">
        <f ca="1">IF('Level Debt'!A11="","",U11)</f>
        <v>0</v>
      </c>
      <c r="W11" s="63" t="str">
        <f>IF(R10&lt;&gt;"",IF(W10 = "", V10+V11,""),IF(OR(Inputs!D19="06/30",Inputs!D19="09/30"),V11,""))</f>
        <v/>
      </c>
      <c r="Y11" s="48">
        <f ca="1">IF(UPPER(Issue)="SPRING",DATE(YEAR(Y10),MONTH(Y10)+6,DAY(Y10)),FirstCoupon)</f>
        <v>45778</v>
      </c>
      <c r="AB11" s="64">
        <f ca="1">IF(UPPER(Issue)="SPRING",Calculations!AB12,ROUND(AB12*(ROUNDDOWN((Y11-Calculations!B3+1)*(360/365),0))/180,2))</f>
        <v>0</v>
      </c>
      <c r="AC11" s="60">
        <f ca="1">IF('Level Principal'!A11="","",AB11)</f>
        <v>0</v>
      </c>
      <c r="AD11" s="63" t="str">
        <f>IF(Y10&lt;&gt;"",IF(AD10 = "", AC10+AC11,""),IF(OR(Inputs!D19="06/30",Inputs!D19="09/30"),AC11,""))</f>
        <v/>
      </c>
    </row>
    <row r="12" spans="1:30" hidden="1" x14ac:dyDescent="0.2">
      <c r="A12" s="46" t="s">
        <v>23</v>
      </c>
      <c r="B12" s="57">
        <v>3.6200000000000003E-2</v>
      </c>
      <c r="D12" s="58">
        <f>IF(NoYears&gt;2,Calculations!T16,0)</f>
        <v>3.6200000000000003E-2</v>
      </c>
      <c r="E12" s="60">
        <f t="shared" ca="1" si="3"/>
        <v>0</v>
      </c>
      <c r="F12" s="60">
        <f ca="1">Inputs!$D$13/$M$41*$M12</f>
        <v>0</v>
      </c>
      <c r="G12" s="60">
        <f ca="1">IF(I11&gt;0.5,TRUNC(F12)+1,TRUNC(F12))</f>
        <v>0</v>
      </c>
      <c r="H12" s="60">
        <f t="shared" ca="1" si="4"/>
        <v>0</v>
      </c>
      <c r="I12" s="60">
        <f t="shared" ca="1" si="5"/>
        <v>0</v>
      </c>
      <c r="J12" s="60">
        <f ca="1">G12*D12+J13</f>
        <v>0</v>
      </c>
      <c r="K12" s="60">
        <f t="shared" ca="1" si="0"/>
        <v>0</v>
      </c>
      <c r="L12" s="58">
        <f t="shared" si="1"/>
        <v>3.6200000000000003E-2</v>
      </c>
      <c r="M12" s="60">
        <f ca="1">IF(OR(Calculations!$B$5&gt;Calculations!R16,Calculations!R16&gt;Calculations!$B$6),0,($P$41-N13)/(L12+1))</f>
        <v>2463105.5771136102</v>
      </c>
      <c r="N12" s="60">
        <f ca="1">M12*L12+N13</f>
        <v>2536894.4228863898</v>
      </c>
      <c r="O12" s="60">
        <f t="shared" ca="1" si="2"/>
        <v>5000000</v>
      </c>
      <c r="P12" s="59">
        <v>1733367.2752516847</v>
      </c>
      <c r="R12" s="48">
        <f ca="1">Calculations!B5</f>
        <v>45962</v>
      </c>
      <c r="S12" s="60">
        <f ca="1">IF(Calculations!I10&gt;0.5,TRUNC(Calculations!F10)+1,TRUNC(Calculations!F10))</f>
        <v>0</v>
      </c>
      <c r="T12" s="58">
        <f>Calculations!B10</f>
        <v>3.8699999999999998E-2</v>
      </c>
      <c r="U12" s="60">
        <f ca="1">ROUND((S12*T12+U13*2)/2,2)</f>
        <v>0</v>
      </c>
      <c r="V12" s="60">
        <f t="shared" ref="V12:V43" ca="1" si="6">S12+U12</f>
        <v>0</v>
      </c>
      <c r="W12" s="63">
        <f ca="1">IF('Level Debt'!A11 = "", IF(W10 = "", V10 + V12, ""), IF(W11 = "", V11 + V12, ""))</f>
        <v>0</v>
      </c>
      <c r="Y12" s="48">
        <f ca="1">Calculations!B5</f>
        <v>45962</v>
      </c>
      <c r="Z12" s="60">
        <f ca="1">IF('Level Principal'!A12&lt;&gt;"",LevelPrincipal+LevelPrincipalAdj,0)</f>
        <v>0</v>
      </c>
      <c r="AA12" s="58">
        <f>Calculations!B10</f>
        <v>3.8699999999999998E-2</v>
      </c>
      <c r="AB12" s="60">
        <f ca="1">ROUND((Z12*AA12+AB13*2)/2,2)</f>
        <v>0</v>
      </c>
      <c r="AC12" s="60">
        <f t="shared" ref="AC12:AC43" ca="1" si="7">Z12+AB12</f>
        <v>0</v>
      </c>
      <c r="AD12" s="63">
        <f ca="1">IF('Level Principal'!A11 = "", IF(AD10 = "", AC10 + AC12, ""), IF(AD11 = "", AC11 + AC12, ""))</f>
        <v>0</v>
      </c>
    </row>
    <row r="13" spans="1:30" hidden="1" x14ac:dyDescent="0.2">
      <c r="A13" s="46" t="s">
        <v>24</v>
      </c>
      <c r="B13" s="57">
        <v>3.5400000000000001E-2</v>
      </c>
      <c r="D13" s="58">
        <f>IF(NoYears&gt;3,Calculations!T18,0)</f>
        <v>3.5400000000000001E-2</v>
      </c>
      <c r="E13" s="60">
        <f t="shared" ca="1" si="3"/>
        <v>0</v>
      </c>
      <c r="F13" s="60">
        <f ca="1">Inputs!$D$13/$M$41*$M13</f>
        <v>0</v>
      </c>
      <c r="G13" s="60">
        <f ca="1">IF(I12&gt;0.5,TRUNC(F13)+1,TRUNC(F13))</f>
        <v>0</v>
      </c>
      <c r="H13" s="60">
        <f t="shared" ca="1" si="4"/>
        <v>0</v>
      </c>
      <c r="I13" s="60">
        <f t="shared" ca="1" si="5"/>
        <v>0</v>
      </c>
      <c r="J13" s="60">
        <f ca="1">G13*D13+J14</f>
        <v>0</v>
      </c>
      <c r="K13" s="60">
        <f t="shared" ca="1" si="0"/>
        <v>0</v>
      </c>
      <c r="L13" s="58">
        <f t="shared" si="1"/>
        <v>3.5400000000000001E-2</v>
      </c>
      <c r="M13" s="60">
        <f ca="1">IF(OR(Calculations!$B$5&gt;Calculations!R18,Calculations!R18&gt;Calculations!$B$6),0,($P$41-N14)/(L13+1))</f>
        <v>2552269.9990051226</v>
      </c>
      <c r="N13" s="60">
        <f ca="1">M13*L13+N14</f>
        <v>2447730.000994877</v>
      </c>
      <c r="O13" s="60">
        <f t="shared" ca="1" si="2"/>
        <v>5000000</v>
      </c>
      <c r="P13" s="59">
        <v>1771501.3553072219</v>
      </c>
      <c r="R13" s="48">
        <f t="shared" ref="R13:R44" ca="1" si="8">DATE(YEAR(R12),MONTH(R12)+6,DAY(R12))</f>
        <v>46143</v>
      </c>
      <c r="U13" s="60">
        <f ca="1">U14</f>
        <v>0</v>
      </c>
      <c r="V13" s="60">
        <f t="shared" ca="1" si="6"/>
        <v>0</v>
      </c>
      <c r="W13" s="63" t="str">
        <f ca="1">IF(W12 = "", V12 + V13, IF('Level Debt'!A14="",V13,""))</f>
        <v/>
      </c>
      <c r="Y13" s="48">
        <f t="shared" ref="Y13:Y44" ca="1" si="9">DATE(YEAR(Y12),MONTH(Y12)+6,DAY(Y12))</f>
        <v>46143</v>
      </c>
      <c r="Z13" s="60"/>
      <c r="AB13" s="60">
        <f ca="1">AB14</f>
        <v>0</v>
      </c>
      <c r="AC13" s="60">
        <f t="shared" ca="1" si="7"/>
        <v>0</v>
      </c>
      <c r="AD13" s="63" t="str">
        <f ca="1">IF(AD12 = "", AC12 + AC13, IF('Level Principal'!A14="",AC13,""))</f>
        <v/>
      </c>
    </row>
    <row r="14" spans="1:30" hidden="1" x14ac:dyDescent="0.2">
      <c r="A14" s="46" t="s">
        <v>25</v>
      </c>
      <c r="B14" s="57">
        <v>3.5099999999999999E-2</v>
      </c>
      <c r="D14" s="58">
        <f>IF(NoYears&gt;4,Calculations!T20,0)</f>
        <v>3.5099999999999999E-2</v>
      </c>
      <c r="E14" s="60">
        <f t="shared" ca="1" si="3"/>
        <v>0</v>
      </c>
      <c r="F14" s="60">
        <f ca="1">Inputs!$D$13/$M$41*$M14</f>
        <v>0</v>
      </c>
      <c r="G14" s="60">
        <f ca="1">IF(I13&gt;0.5,TRUNC(F14)+1,TRUNC(F14))</f>
        <v>0</v>
      </c>
      <c r="H14" s="60">
        <f t="shared" ca="1" si="4"/>
        <v>0</v>
      </c>
      <c r="I14" s="60">
        <f t="shared" ca="1" si="5"/>
        <v>0</v>
      </c>
      <c r="J14" s="60">
        <f t="shared" ref="J14:J39" ca="1" si="10">G14*D14+J15</f>
        <v>0</v>
      </c>
      <c r="K14" s="60">
        <f t="shared" ca="1" si="0"/>
        <v>0</v>
      </c>
      <c r="L14" s="58">
        <f t="shared" si="1"/>
        <v>3.5099999999999999E-2</v>
      </c>
      <c r="M14" s="60">
        <f ca="1">IF(OR(Calculations!$B$5&gt;Calculations!R20,Calculations!R20&gt;Calculations!$B$6),0,($P$41-N15)/(L14+1))</f>
        <v>2642620.3569699042</v>
      </c>
      <c r="N14" s="60">
        <f t="shared" ref="N14:N38" ca="1" si="11">M14*L14+N15</f>
        <v>2357379.6430300958</v>
      </c>
      <c r="O14" s="60">
        <f t="shared" ca="1" si="2"/>
        <v>5000000</v>
      </c>
      <c r="P14" s="59">
        <v>1812245.8864792879</v>
      </c>
      <c r="R14" s="48">
        <f t="shared" ca="1" si="8"/>
        <v>46327</v>
      </c>
      <c r="S14" s="60">
        <f ca="1">IF(Calculations!I11&gt;1/2,TRUNC(Calculations!F11)+1,TRUNC(Calculations!F11))</f>
        <v>0</v>
      </c>
      <c r="T14" s="58">
        <f>Calculations!B11</f>
        <v>3.7699999999999997E-2</v>
      </c>
      <c r="U14" s="60">
        <f ca="1">ROUND((S14*T14/1+U15*2)/2,2)</f>
        <v>0</v>
      </c>
      <c r="V14" s="60">
        <f t="shared" ca="1" si="6"/>
        <v>0</v>
      </c>
      <c r="W14" s="63">
        <f ca="1">IF(W13 = "", V13 + V14, IF('Level Debt'!A15="",V14,""))</f>
        <v>0</v>
      </c>
      <c r="Y14" s="48">
        <f t="shared" ca="1" si="9"/>
        <v>46327</v>
      </c>
      <c r="Z14" s="60">
        <f ca="1">IF('Level Principal'!A14&lt;&gt;"",LevelPrincipal,0)</f>
        <v>0</v>
      </c>
      <c r="AA14" s="58">
        <f>Calculations!B11</f>
        <v>3.7699999999999997E-2</v>
      </c>
      <c r="AB14" s="60">
        <f ca="1">IF('Level Principal'!A14="",0,ROUND(((AA14*Z14)+AB15*2)/2,2))</f>
        <v>0</v>
      </c>
      <c r="AC14" s="60">
        <f t="shared" ca="1" si="7"/>
        <v>0</v>
      </c>
      <c r="AD14" s="63">
        <f ca="1">IF(AD13 = "", AC13 + AC14, IF('Level Principal'!A15="",AC14,""))</f>
        <v>0</v>
      </c>
    </row>
    <row r="15" spans="1:30" hidden="1" x14ac:dyDescent="0.2">
      <c r="A15" s="46" t="s">
        <v>26</v>
      </c>
      <c r="B15" s="57">
        <v>3.5000000000000003E-2</v>
      </c>
      <c r="D15" s="58">
        <f>IF(NoYears&gt;5,Calculations!T22,0)</f>
        <v>3.5000000000000003E-2</v>
      </c>
      <c r="E15" s="60">
        <f t="shared" ca="1" si="3"/>
        <v>0</v>
      </c>
      <c r="F15" s="60">
        <f ca="1">Inputs!$D$13/$M$41*$M15</f>
        <v>0</v>
      </c>
      <c r="G15" s="60">
        <f t="shared" ref="G15:G39" ca="1" si="12">IF(I14&gt;0.5,TRUNC(F15)+1,TRUNC(F15))</f>
        <v>0</v>
      </c>
      <c r="H15" s="60">
        <f t="shared" ca="1" si="4"/>
        <v>0</v>
      </c>
      <c r="I15" s="60">
        <f t="shared" ca="1" si="5"/>
        <v>0</v>
      </c>
      <c r="J15" s="60">
        <f t="shared" ca="1" si="10"/>
        <v>0</v>
      </c>
      <c r="K15" s="60">
        <f t="shared" ca="1" si="0"/>
        <v>0</v>
      </c>
      <c r="L15" s="58">
        <f t="shared" si="1"/>
        <v>3.5000000000000003E-2</v>
      </c>
      <c r="M15" s="60">
        <f ca="1">IF(OR(Calculations!$B$5&gt;Calculations!R22,Calculations!R22&gt;Calculations!$B$6),0,($P$41-N16)/(L15+1))</f>
        <v>2735376.3314995482</v>
      </c>
      <c r="N15" s="60">
        <f t="shared" ca="1" si="11"/>
        <v>2264623.6685004523</v>
      </c>
      <c r="O15" s="60">
        <f t="shared" ca="1" si="2"/>
        <v>5000000</v>
      </c>
      <c r="P15" s="59">
        <v>1855739.7877547909</v>
      </c>
      <c r="R15" s="48">
        <f t="shared" ca="1" si="8"/>
        <v>46508</v>
      </c>
      <c r="U15" s="60">
        <f ca="1">U16</f>
        <v>0</v>
      </c>
      <c r="V15" s="60">
        <f t="shared" ca="1" si="6"/>
        <v>0</v>
      </c>
      <c r="W15" s="63" t="str">
        <f ca="1">IF(W14 = "", V14 + V15, IF('Level Debt'!A16="",V15,""))</f>
        <v/>
      </c>
      <c r="Y15" s="48">
        <f t="shared" ca="1" si="9"/>
        <v>46508</v>
      </c>
      <c r="Z15" s="60"/>
      <c r="AB15" s="60">
        <f ca="1">AB16</f>
        <v>0</v>
      </c>
      <c r="AC15" s="60">
        <f t="shared" ca="1" si="7"/>
        <v>0</v>
      </c>
      <c r="AD15" s="63" t="str">
        <f ca="1">IF(AD14 = "", AC14 + AC15, IF('Level Principal'!A16="",AC15,""))</f>
        <v/>
      </c>
    </row>
    <row r="16" spans="1:30" hidden="1" x14ac:dyDescent="0.2">
      <c r="A16" s="46" t="s">
        <v>32</v>
      </c>
      <c r="B16" s="57">
        <v>3.5200000000000002E-2</v>
      </c>
      <c r="D16" s="58">
        <f>IF(NoYears&gt;6,Calculations!T24,0)</f>
        <v>3.5200000000000002E-2</v>
      </c>
      <c r="E16" s="60">
        <f t="shared" ca="1" si="3"/>
        <v>0</v>
      </c>
      <c r="F16" s="60">
        <f ca="1">Inputs!$D$13/$M$41*$M16</f>
        <v>0</v>
      </c>
      <c r="G16" s="60">
        <f t="shared" ca="1" si="12"/>
        <v>0</v>
      </c>
      <c r="H16" s="60">
        <f t="shared" ca="1" si="4"/>
        <v>0</v>
      </c>
      <c r="I16" s="60">
        <f t="shared" ca="1" si="5"/>
        <v>0</v>
      </c>
      <c r="J16" s="60">
        <f t="shared" ca="1" si="10"/>
        <v>0</v>
      </c>
      <c r="K16" s="60">
        <f t="shared" ca="1" si="0"/>
        <v>0</v>
      </c>
      <c r="L16" s="58">
        <f t="shared" si="1"/>
        <v>3.5200000000000002E-2</v>
      </c>
      <c r="M16" s="60">
        <f ca="1">IF(OR(Calculations!$B$5&gt;Calculations!R24,Calculations!R24&gt;Calculations!$B$6),0,($P$41-N17)/(L16+1))</f>
        <v>2831114.5031020325</v>
      </c>
      <c r="N16" s="60">
        <f t="shared" ca="1" si="11"/>
        <v>2168885.496897968</v>
      </c>
      <c r="O16" s="60">
        <f t="shared" ca="1" si="2"/>
        <v>5000000</v>
      </c>
      <c r="P16" s="59">
        <v>1902133.2824486606</v>
      </c>
      <c r="R16" s="48">
        <f t="shared" ca="1" si="8"/>
        <v>46692</v>
      </c>
      <c r="S16" s="60">
        <f ca="1">IF(Calculations!I12&gt;1/2,TRUNC(Calculations!F12)+1,TRUNC(Calculations!F12))</f>
        <v>0</v>
      </c>
      <c r="T16" s="58">
        <f>Calculations!B12</f>
        <v>3.6200000000000003E-2</v>
      </c>
      <c r="U16" s="60">
        <f ca="1">ROUND((S16*T16/1+U17*2)/2,2)</f>
        <v>0</v>
      </c>
      <c r="V16" s="60">
        <f t="shared" ca="1" si="6"/>
        <v>0</v>
      </c>
      <c r="W16" s="63">
        <f ca="1">IF(W15 = "", V15 + V16, IF('Level Debt'!A17="",V16,""))</f>
        <v>0</v>
      </c>
      <c r="Y16" s="48">
        <f t="shared" ca="1" si="9"/>
        <v>46692</v>
      </c>
      <c r="Z16" s="60">
        <f ca="1">IF('Level Principal'!A16&lt;&gt;"",LevelPrincipal,0)</f>
        <v>0</v>
      </c>
      <c r="AA16" s="58">
        <f>Calculations!B12</f>
        <v>3.6200000000000003E-2</v>
      </c>
      <c r="AB16" s="60">
        <f ca="1">IF('Level Principal'!A16="",0,ROUND(((AA16*Z16)+AB17*2)/2,2))</f>
        <v>0</v>
      </c>
      <c r="AC16" s="60">
        <f t="shared" ca="1" si="7"/>
        <v>0</v>
      </c>
      <c r="AD16" s="63">
        <f ca="1">IF(AD15 = "", AC15 + AC16, IF('Level Principal'!A17="",AC16,""))</f>
        <v>0</v>
      </c>
    </row>
    <row r="17" spans="1:30" hidden="1" x14ac:dyDescent="0.2">
      <c r="A17" s="46" t="s">
        <v>33</v>
      </c>
      <c r="B17" s="57">
        <v>3.5200000000000002E-2</v>
      </c>
      <c r="D17" s="58">
        <f>IF(NoYears&gt;7,Calculations!T26,0)</f>
        <v>3.5200000000000002E-2</v>
      </c>
      <c r="E17" s="60">
        <f t="shared" ca="1" si="3"/>
        <v>0</v>
      </c>
      <c r="F17" s="60">
        <f ca="1">Inputs!$D$13/$M$41*$M17</f>
        <v>0</v>
      </c>
      <c r="G17" s="60">
        <f t="shared" ca="1" si="12"/>
        <v>0</v>
      </c>
      <c r="H17" s="60">
        <f t="shared" ca="1" si="4"/>
        <v>0</v>
      </c>
      <c r="I17" s="60">
        <f t="shared" ca="1" si="5"/>
        <v>0</v>
      </c>
      <c r="J17" s="60">
        <f t="shared" ca="1" si="10"/>
        <v>0</v>
      </c>
      <c r="K17" s="60">
        <f t="shared" ca="1" si="0"/>
        <v>0</v>
      </c>
      <c r="L17" s="58">
        <f t="shared" si="1"/>
        <v>3.5200000000000002E-2</v>
      </c>
      <c r="M17" s="60">
        <f ca="1">IF(OR(Calculations!$B$5&gt;Calculations!R26,Calculations!R26&gt;Calculations!$B$6),0,($P$41-N18)/(L17+1))</f>
        <v>2930769.7336112242</v>
      </c>
      <c r="N17" s="60">
        <f t="shared" ca="1" si="11"/>
        <v>2069230.2663887762</v>
      </c>
      <c r="O17" s="60">
        <f t="shared" ca="1" si="2"/>
        <v>5000000</v>
      </c>
      <c r="P17" s="59">
        <v>1951588.7477923261</v>
      </c>
      <c r="R17" s="48">
        <f t="shared" ca="1" si="8"/>
        <v>46874</v>
      </c>
      <c r="U17" s="60">
        <f ca="1">U18</f>
        <v>0</v>
      </c>
      <c r="V17" s="60">
        <f t="shared" ca="1" si="6"/>
        <v>0</v>
      </c>
      <c r="W17" s="63" t="str">
        <f ca="1">IF(W16 = "", V16 + V17, IF('Level Debt'!A18="",V17,""))</f>
        <v/>
      </c>
      <c r="Y17" s="48">
        <f t="shared" ca="1" si="9"/>
        <v>46874</v>
      </c>
      <c r="Z17" s="60"/>
      <c r="AB17" s="60">
        <f ca="1">AB18</f>
        <v>0</v>
      </c>
      <c r="AC17" s="60">
        <f t="shared" ca="1" si="7"/>
        <v>0</v>
      </c>
      <c r="AD17" s="63" t="str">
        <f ca="1">IF(AD16 = "", AC16 + AC17, IF('Level Principal'!A18="",AC17,""))</f>
        <v/>
      </c>
    </row>
    <row r="18" spans="1:30" hidden="1" x14ac:dyDescent="0.2">
      <c r="A18" s="46" t="s">
        <v>34</v>
      </c>
      <c r="B18" s="57">
        <v>3.5400000000000001E-2</v>
      </c>
      <c r="D18" s="58">
        <f>IF(NoYears&gt;8,Calculations!T28,0)</f>
        <v>3.5400000000000001E-2</v>
      </c>
      <c r="E18" s="60">
        <f t="shared" ca="1" si="3"/>
        <v>0</v>
      </c>
      <c r="F18" s="60">
        <f ca="1">Inputs!$D$13/$M$41*$M18</f>
        <v>0</v>
      </c>
      <c r="G18" s="60">
        <f t="shared" ca="1" si="12"/>
        <v>0</v>
      </c>
      <c r="H18" s="60">
        <f t="shared" ca="1" si="4"/>
        <v>0</v>
      </c>
      <c r="I18" s="60">
        <f t="shared" ca="1" si="5"/>
        <v>0</v>
      </c>
      <c r="J18" s="60">
        <f t="shared" ca="1" si="10"/>
        <v>0</v>
      </c>
      <c r="K18" s="60">
        <f t="shared" ca="1" si="0"/>
        <v>0</v>
      </c>
      <c r="L18" s="58">
        <f t="shared" si="1"/>
        <v>3.5400000000000001E-2</v>
      </c>
      <c r="M18" s="60">
        <f ca="1">IF(OR(Calculations!$B$5&gt;Calculations!R28,Calculations!R28&gt;Calculations!$B$6),0,($P$41-N19)/(L18+1))</f>
        <v>3033932.8282343387</v>
      </c>
      <c r="N18" s="60">
        <f t="shared" ca="1" si="11"/>
        <v>1966067.1717656611</v>
      </c>
      <c r="O18" s="60">
        <f t="shared" ca="1" si="2"/>
        <v>5000000</v>
      </c>
      <c r="P18" s="59">
        <v>2004281.6439827189</v>
      </c>
      <c r="R18" s="48">
        <f t="shared" ca="1" si="8"/>
        <v>47058</v>
      </c>
      <c r="S18" s="60">
        <f ca="1">IF(Calculations!I13&gt;1/2,TRUNC(Calculations!F13)+1,TRUNC(Calculations!F13))</f>
        <v>0</v>
      </c>
      <c r="T18" s="58">
        <f>Calculations!B13</f>
        <v>3.5400000000000001E-2</v>
      </c>
      <c r="U18" s="60">
        <f ca="1">ROUND((S18*T18/1+U19*2)/2,2)</f>
        <v>0</v>
      </c>
      <c r="V18" s="60">
        <f t="shared" ca="1" si="6"/>
        <v>0</v>
      </c>
      <c r="W18" s="63">
        <f ca="1">IF(W17 = "", V17 + V18, IF('Level Debt'!A19="",V18,""))</f>
        <v>0</v>
      </c>
      <c r="Y18" s="48">
        <f t="shared" ca="1" si="9"/>
        <v>47058</v>
      </c>
      <c r="Z18" s="60">
        <f ca="1">IF('Level Principal'!A18&lt;&gt;"",LevelPrincipal,0)</f>
        <v>0</v>
      </c>
      <c r="AA18" s="58">
        <f>Calculations!B13</f>
        <v>3.5400000000000001E-2</v>
      </c>
      <c r="AB18" s="60">
        <f ca="1">IF('Level Principal'!A18="",0,ROUND(((AA18*Z18)+AB19*2)/2,2))</f>
        <v>0</v>
      </c>
      <c r="AC18" s="60">
        <f t="shared" ca="1" si="7"/>
        <v>0</v>
      </c>
      <c r="AD18" s="63">
        <f ca="1">IF(AD17 = "", AC17 + AC18, IF('Level Principal'!A19="",AC18,""))</f>
        <v>0</v>
      </c>
    </row>
    <row r="19" spans="1:30" hidden="1" x14ac:dyDescent="0.2">
      <c r="A19" s="46" t="s">
        <v>35</v>
      </c>
      <c r="B19" s="57">
        <v>3.5799999999999998E-2</v>
      </c>
      <c r="D19" s="58">
        <f>IF(NoYears&gt;9,Calculations!T30,0)</f>
        <v>3.5799999999999998E-2</v>
      </c>
      <c r="E19" s="60">
        <f t="shared" ca="1" si="3"/>
        <v>0</v>
      </c>
      <c r="F19" s="60">
        <f ca="1">Inputs!$D$13/$M$41*$M19</f>
        <v>0</v>
      </c>
      <c r="G19" s="60">
        <f t="shared" ca="1" si="12"/>
        <v>0</v>
      </c>
      <c r="H19" s="60">
        <f t="shared" ca="1" si="4"/>
        <v>0</v>
      </c>
      <c r="I19" s="60">
        <f t="shared" ca="1" si="5"/>
        <v>0</v>
      </c>
      <c r="J19" s="60">
        <f t="shared" ca="1" si="10"/>
        <v>0</v>
      </c>
      <c r="K19" s="60">
        <f t="shared" ca="1" si="0"/>
        <v>0</v>
      </c>
      <c r="L19" s="58">
        <f t="shared" si="1"/>
        <v>3.5799999999999998E-2</v>
      </c>
      <c r="M19" s="60">
        <f ca="1">IF(OR(Calculations!$B5&gt;Calculations!R30,Calculations!R30&gt;Calculations!$B$6),0,($P$41-N20)/(L19+1))</f>
        <v>3141334.0503538339</v>
      </c>
      <c r="N19" s="60">
        <f t="shared" ca="1" si="11"/>
        <v>1858665.9496461656</v>
      </c>
      <c r="O19" s="60">
        <f t="shared" ca="1" si="2"/>
        <v>5000000</v>
      </c>
      <c r="P19" s="59">
        <v>2060401.5300142353</v>
      </c>
      <c r="R19" s="48">
        <f t="shared" ca="1" si="8"/>
        <v>47239</v>
      </c>
      <c r="U19" s="60">
        <f ca="1">U20</f>
        <v>0</v>
      </c>
      <c r="V19" s="60">
        <f t="shared" ca="1" si="6"/>
        <v>0</v>
      </c>
      <c r="W19" s="63" t="str">
        <f ca="1">IF(W18 = "", V18 + V19, IF('Level Debt'!A20="",V19,""))</f>
        <v/>
      </c>
      <c r="Y19" s="48">
        <f t="shared" ca="1" si="9"/>
        <v>47239</v>
      </c>
      <c r="Z19" s="60"/>
      <c r="AB19" s="60">
        <f ca="1">AB20</f>
        <v>0</v>
      </c>
      <c r="AC19" s="60">
        <f t="shared" ca="1" si="7"/>
        <v>0</v>
      </c>
      <c r="AD19" s="63" t="str">
        <f ca="1">IF(AD18 = "", AC18 + AC19, IF('Level Principal'!A20="",AC19,""))</f>
        <v/>
      </c>
    </row>
    <row r="20" spans="1:30" hidden="1" x14ac:dyDescent="0.2">
      <c r="A20" s="46" t="s">
        <v>36</v>
      </c>
      <c r="B20" s="57">
        <v>3.7969999999999997E-2</v>
      </c>
      <c r="D20" s="58">
        <f>IF(NoYears&gt;10,Calculations!T32,0)</f>
        <v>3.7969999999999997E-2</v>
      </c>
      <c r="E20" s="60">
        <f t="shared" ca="1" si="3"/>
        <v>0</v>
      </c>
      <c r="F20" s="60">
        <f ca="1">Inputs!$D$13/$M$41*$M20</f>
        <v>0</v>
      </c>
      <c r="G20" s="60">
        <f t="shared" ca="1" si="12"/>
        <v>0</v>
      </c>
      <c r="H20" s="60">
        <f t="shared" ca="1" si="4"/>
        <v>0</v>
      </c>
      <c r="I20" s="60">
        <f t="shared" ca="1" si="5"/>
        <v>0</v>
      </c>
      <c r="J20" s="60">
        <f t="shared" ca="1" si="10"/>
        <v>0</v>
      </c>
      <c r="K20" s="60">
        <f t="shared" ca="1" si="0"/>
        <v>0</v>
      </c>
      <c r="L20" s="58">
        <f t="shared" si="1"/>
        <v>3.7969999999999997E-2</v>
      </c>
      <c r="M20" s="60">
        <f ca="1">IF(OR(Calculations!$B5&gt;Calculations!R32,Calculations!R32&gt;Calculations!$B$6),0,($P$41-N21)/(L20+1))</f>
        <v>3253793.8093565013</v>
      </c>
      <c r="N20" s="60">
        <f t="shared" ca="1" si="11"/>
        <v>1746206.1906434984</v>
      </c>
      <c r="O20" s="60">
        <f t="shared" ca="1" si="2"/>
        <v>5000000</v>
      </c>
      <c r="P20" s="59">
        <v>2120153.174384648</v>
      </c>
      <c r="R20" s="48">
        <f t="shared" ca="1" si="8"/>
        <v>47423</v>
      </c>
      <c r="S20" s="60">
        <f ca="1">IF(Calculations!I14&gt;1/2,TRUNC(Calculations!F14)+1,TRUNC(Calculations!F14))</f>
        <v>0</v>
      </c>
      <c r="T20" s="58">
        <f>Calculations!B14</f>
        <v>3.5099999999999999E-2</v>
      </c>
      <c r="U20" s="60">
        <f ca="1">ROUND((S20*T20/1+U21*2)/2,2)</f>
        <v>0</v>
      </c>
      <c r="V20" s="60">
        <f t="shared" ca="1" si="6"/>
        <v>0</v>
      </c>
      <c r="W20" s="63">
        <f ca="1">IF(W19 = "", V19 + V20, IF('Level Debt'!A21="",V20,""))</f>
        <v>0</v>
      </c>
      <c r="Y20" s="48">
        <f t="shared" ca="1" si="9"/>
        <v>47423</v>
      </c>
      <c r="Z20" s="60">
        <f ca="1">IF('Level Principal'!A20&lt;&gt;"",LevelPrincipal,0)</f>
        <v>0</v>
      </c>
      <c r="AA20" s="58">
        <f>Calculations!B14</f>
        <v>3.5099999999999999E-2</v>
      </c>
      <c r="AB20" s="60">
        <f ca="1">IF('Level Principal'!A20="",0,ROUND(((AA20*Z20)+AB21*2)/2,2))</f>
        <v>0</v>
      </c>
      <c r="AC20" s="60">
        <f t="shared" ca="1" si="7"/>
        <v>0</v>
      </c>
      <c r="AD20" s="63">
        <f ca="1">IF(AD19 = "", AC19 + AC20, IF('Level Principal'!A21="",AC20,""))</f>
        <v>0</v>
      </c>
    </row>
    <row r="21" spans="1:30" hidden="1" x14ac:dyDescent="0.2">
      <c r="A21" s="46" t="s">
        <v>37</v>
      </c>
      <c r="B21" s="57">
        <v>3.9640000000000002E-2</v>
      </c>
      <c r="D21" s="58">
        <f>IF(NoYears&gt;11,Calculations!T34,0)</f>
        <v>3.9640000000000002E-2</v>
      </c>
      <c r="E21" s="60">
        <f t="shared" ca="1" si="3"/>
        <v>0</v>
      </c>
      <c r="F21" s="60">
        <f ca="1">Inputs!$D$13/$M$41*$M21</f>
        <v>0</v>
      </c>
      <c r="G21" s="60">
        <f t="shared" ca="1" si="12"/>
        <v>0</v>
      </c>
      <c r="H21" s="60">
        <f t="shared" ca="1" si="4"/>
        <v>0</v>
      </c>
      <c r="I21" s="60">
        <f t="shared" ca="1" si="5"/>
        <v>0</v>
      </c>
      <c r="J21" s="60">
        <f t="shared" ca="1" si="10"/>
        <v>0</v>
      </c>
      <c r="K21" s="60">
        <f t="shared" ca="1" si="0"/>
        <v>0</v>
      </c>
      <c r="L21" s="58">
        <f t="shared" si="1"/>
        <v>3.9640000000000002E-2</v>
      </c>
      <c r="M21" s="60">
        <f ca="1">IF(OR(Calculations!$B5&gt;Calculations!R34,Calculations!R34&gt;Calculations!$B$6),0,($P$41-N22)/(L21+1))</f>
        <v>3377340.3602977679</v>
      </c>
      <c r="N21" s="60">
        <f t="shared" ca="1" si="11"/>
        <v>1622659.6397022321</v>
      </c>
      <c r="O21" s="60">
        <f t="shared" ca="1" si="2"/>
        <v>5000000</v>
      </c>
      <c r="P21" s="59">
        <v>2183757.7696161876</v>
      </c>
      <c r="R21" s="48">
        <f t="shared" ca="1" si="8"/>
        <v>47604</v>
      </c>
      <c r="U21" s="60">
        <f ca="1">U22</f>
        <v>0</v>
      </c>
      <c r="V21" s="60">
        <f t="shared" ca="1" si="6"/>
        <v>0</v>
      </c>
      <c r="W21" s="63" t="str">
        <f ca="1">IF(W20 = "", V20 + V21, IF('Level Debt'!A22="",V21,""))</f>
        <v/>
      </c>
      <c r="Y21" s="48">
        <f t="shared" ca="1" si="9"/>
        <v>47604</v>
      </c>
      <c r="Z21" s="60"/>
      <c r="AB21" s="60">
        <f ca="1">AB22</f>
        <v>0</v>
      </c>
      <c r="AC21" s="60">
        <f t="shared" ca="1" si="7"/>
        <v>0</v>
      </c>
      <c r="AD21" s="63" t="str">
        <f ca="1">IF(AD20 = "", AC20 + AC21, IF('Level Principal'!A22="",AC21,""))</f>
        <v/>
      </c>
    </row>
    <row r="22" spans="1:30" hidden="1" x14ac:dyDescent="0.2">
      <c r="A22" s="46" t="s">
        <v>38</v>
      </c>
      <c r="B22" s="57">
        <v>4.1500000000000002E-2</v>
      </c>
      <c r="D22" s="58">
        <f>IF(NoYears&gt;12,Calculations!T36,0)</f>
        <v>4.1500000000000002E-2</v>
      </c>
      <c r="E22" s="60">
        <f t="shared" ca="1" si="3"/>
        <v>0</v>
      </c>
      <c r="F22" s="60">
        <f ca="1">Inputs!$D$13/$M$41*$M22</f>
        <v>0</v>
      </c>
      <c r="G22" s="60">
        <f t="shared" ca="1" si="12"/>
        <v>0</v>
      </c>
      <c r="H22" s="60">
        <f t="shared" ca="1" si="4"/>
        <v>0</v>
      </c>
      <c r="I22" s="60">
        <f t="shared" ca="1" si="5"/>
        <v>0</v>
      </c>
      <c r="J22" s="60">
        <f t="shared" ca="1" si="10"/>
        <v>0</v>
      </c>
      <c r="K22" s="60">
        <f t="shared" ca="1" si="0"/>
        <v>0</v>
      </c>
      <c r="L22" s="58">
        <f t="shared" si="1"/>
        <v>4.1500000000000002E-2</v>
      </c>
      <c r="M22" s="60">
        <f ca="1">IF(OR(Calculations!$B$5&gt;Calculations!R36,Calculations!R36&gt;Calculations!$B$6),0,($P$41-N23)/(L22+1))</f>
        <v>3511218.1321799709</v>
      </c>
      <c r="N22" s="60">
        <f t="shared" ca="1" si="11"/>
        <v>1488781.8678200287</v>
      </c>
      <c r="O22" s="60">
        <f t="shared" ca="1" si="2"/>
        <v>5000000</v>
      </c>
      <c r="P22" s="59">
        <v>2251454.2604742893</v>
      </c>
      <c r="R22" s="48">
        <f t="shared" ca="1" si="8"/>
        <v>47788</v>
      </c>
      <c r="S22" s="60">
        <f ca="1">IF(Calculations!I15&gt;1/2,TRUNC(Calculations!F15)+1,TRUNC(Calculations!F15))</f>
        <v>0</v>
      </c>
      <c r="T22" s="58">
        <f>Calculations!B15</f>
        <v>3.5000000000000003E-2</v>
      </c>
      <c r="U22" s="60">
        <f ca="1">ROUND((S22*T22/1+U23*2)/2,2)</f>
        <v>0</v>
      </c>
      <c r="V22" s="60">
        <f t="shared" ca="1" si="6"/>
        <v>0</v>
      </c>
      <c r="W22" s="63">
        <f ca="1">IF(W21 = "", V21 + V22, IF('Level Debt'!A23="",V22,""))</f>
        <v>0</v>
      </c>
      <c r="Y22" s="48">
        <f t="shared" ca="1" si="9"/>
        <v>47788</v>
      </c>
      <c r="Z22" s="60">
        <f ca="1">IF('Level Principal'!A22&lt;&gt;"",LevelPrincipal,0)</f>
        <v>0</v>
      </c>
      <c r="AA22" s="58">
        <f>Calculations!B15</f>
        <v>3.5000000000000003E-2</v>
      </c>
      <c r="AB22" s="60">
        <f ca="1">IF('Level Principal'!A22="",0,ROUND(((AA22*Z22)+AB23*2)/2,2))</f>
        <v>0</v>
      </c>
      <c r="AC22" s="60">
        <f t="shared" ca="1" si="7"/>
        <v>0</v>
      </c>
      <c r="AD22" s="63">
        <f ca="1">IF(AD21 = "", AC21 + AC22, IF('Level Principal'!A23="",AC22,""))</f>
        <v>0</v>
      </c>
    </row>
    <row r="23" spans="1:30" hidden="1" x14ac:dyDescent="0.2">
      <c r="A23" s="46" t="s">
        <v>39</v>
      </c>
      <c r="B23" s="57">
        <v>4.258E-2</v>
      </c>
      <c r="D23" s="58">
        <f>IF(NoYears&gt;13,Calculations!T38,0)</f>
        <v>4.258E-2</v>
      </c>
      <c r="E23" s="60">
        <f t="shared" ca="1" si="3"/>
        <v>0</v>
      </c>
      <c r="F23" s="60">
        <f ca="1">Inputs!$D$13/$M$41*$M23</f>
        <v>0</v>
      </c>
      <c r="G23" s="60">
        <f t="shared" ca="1" si="12"/>
        <v>0</v>
      </c>
      <c r="H23" s="60">
        <f t="shared" ca="1" si="4"/>
        <v>0</v>
      </c>
      <c r="I23" s="60">
        <f t="shared" ca="1" si="5"/>
        <v>0</v>
      </c>
      <c r="J23" s="60">
        <f t="shared" ca="1" si="10"/>
        <v>0</v>
      </c>
      <c r="K23" s="60">
        <f t="shared" ca="1" si="0"/>
        <v>0</v>
      </c>
      <c r="L23" s="58">
        <f t="shared" si="1"/>
        <v>4.258E-2</v>
      </c>
      <c r="M23" s="60">
        <f ca="1">IF(OR(Calculations!$B5&gt;Calculations!R38,Calculations!R38&gt;Calculations!$B$6),0,($P$41-N24)/(L23+1))</f>
        <v>3656933.6846654401</v>
      </c>
      <c r="N23" s="60">
        <f t="shared" ca="1" si="11"/>
        <v>1343066.3153345599</v>
      </c>
      <c r="O23" s="60">
        <f t="shared" ca="1" si="2"/>
        <v>5000000</v>
      </c>
      <c r="P23" s="59">
        <v>2323500.7968094666</v>
      </c>
      <c r="R23" s="48">
        <f t="shared" ca="1" si="8"/>
        <v>47969</v>
      </c>
      <c r="U23" s="60">
        <f ca="1">U24</f>
        <v>0</v>
      </c>
      <c r="V23" s="60">
        <f t="shared" ca="1" si="6"/>
        <v>0</v>
      </c>
      <c r="W23" s="63" t="str">
        <f ca="1">IF(W22 = "", V22 + V23, IF('Level Debt'!A24="",V23,""))</f>
        <v/>
      </c>
      <c r="Y23" s="48">
        <f t="shared" ca="1" si="9"/>
        <v>47969</v>
      </c>
      <c r="Z23" s="60"/>
      <c r="AB23" s="60">
        <f ca="1">AB24</f>
        <v>0</v>
      </c>
      <c r="AC23" s="60">
        <f t="shared" ca="1" si="7"/>
        <v>0</v>
      </c>
      <c r="AD23" s="63" t="str">
        <f ca="1">IF(AD22 = "", AC22 + AC23, IF('Level Principal'!A24="",AC23,""))</f>
        <v/>
      </c>
    </row>
    <row r="24" spans="1:30" hidden="1" x14ac:dyDescent="0.2">
      <c r="A24" s="46" t="s">
        <v>40</v>
      </c>
      <c r="B24" s="57">
        <v>4.3540000000000002E-2</v>
      </c>
      <c r="D24" s="58">
        <f>IF(NoYears&gt;14,Calculations!T40,0)</f>
        <v>4.3540000000000002E-2</v>
      </c>
      <c r="E24" s="60">
        <f t="shared" ca="1" si="3"/>
        <v>0</v>
      </c>
      <c r="F24" s="60">
        <f ca="1">Inputs!$D$13/$M$41*$M24</f>
        <v>0</v>
      </c>
      <c r="G24" s="60">
        <f t="shared" ca="1" si="12"/>
        <v>0</v>
      </c>
      <c r="H24" s="60">
        <f t="shared" ca="1" si="4"/>
        <v>0</v>
      </c>
      <c r="I24" s="60">
        <f t="shared" ca="1" si="5"/>
        <v>0</v>
      </c>
      <c r="J24" s="60">
        <f t="shared" ca="1" si="10"/>
        <v>0</v>
      </c>
      <c r="K24" s="60">
        <f t="shared" ca="1" si="0"/>
        <v>0</v>
      </c>
      <c r="L24" s="58">
        <f t="shared" si="1"/>
        <v>4.3540000000000002E-2</v>
      </c>
      <c r="M24" s="60">
        <f ca="1">IF(OR(Calculations!$B5&gt;Calculations!R40,Calculations!R40&gt;Calculations!$B$6),0,($P$41-N25)/(L24+1))</f>
        <v>3812645.9209584948</v>
      </c>
      <c r="N24" s="60">
        <f t="shared" ca="1" si="11"/>
        <v>1187354.0790415055</v>
      </c>
      <c r="O24" s="60">
        <f t="shared" ca="1" si="2"/>
        <v>5000000</v>
      </c>
      <c r="P24" s="59">
        <v>2400176.323104179</v>
      </c>
      <c r="R24" s="48">
        <f t="shared" ca="1" si="8"/>
        <v>48153</v>
      </c>
      <c r="S24" s="60">
        <f ca="1">IF(Calculations!I16&gt;1/2,TRUNC(Calculations!F16)+1,TRUNC(Calculations!F16))</f>
        <v>0</v>
      </c>
      <c r="T24" s="58">
        <f>Calculations!B16</f>
        <v>3.5200000000000002E-2</v>
      </c>
      <c r="U24" s="60">
        <f ca="1">ROUND((S24*T24/1+U25*2)/2,2)</f>
        <v>0</v>
      </c>
      <c r="V24" s="60">
        <f t="shared" ca="1" si="6"/>
        <v>0</v>
      </c>
      <c r="W24" s="63">
        <f ca="1">IF(W23 = "", V23 + V24, IF('Level Debt'!A25="",V24,""))</f>
        <v>0</v>
      </c>
      <c r="Y24" s="48">
        <f t="shared" ca="1" si="9"/>
        <v>48153</v>
      </c>
      <c r="Z24" s="60">
        <f ca="1">IF('Level Principal'!A24&lt;&gt;"",LevelPrincipal,0)</f>
        <v>0</v>
      </c>
      <c r="AA24" s="58">
        <f>Calculations!B16</f>
        <v>3.5200000000000002E-2</v>
      </c>
      <c r="AB24" s="60">
        <f ca="1">IF('Level Principal'!A24="",0,ROUND(((AA24*Z24)+AB25*2)/2,2))</f>
        <v>0</v>
      </c>
      <c r="AC24" s="60">
        <f t="shared" ca="1" si="7"/>
        <v>0</v>
      </c>
      <c r="AD24" s="63">
        <f ca="1">IF(AD23 = "", AC23 + AC24, IF('Level Principal'!A25="",AC24,""))</f>
        <v>0</v>
      </c>
    </row>
    <row r="25" spans="1:30" hidden="1" x14ac:dyDescent="0.2">
      <c r="A25" s="46" t="s">
        <v>41</v>
      </c>
      <c r="B25" s="57">
        <v>4.4970000000000003E-2</v>
      </c>
      <c r="D25" s="58">
        <f>IF(NoYears&gt;15,Calculations!T42,0)</f>
        <v>4.4970000000000003E-2</v>
      </c>
      <c r="E25" s="60">
        <f t="shared" ca="1" si="3"/>
        <v>0</v>
      </c>
      <c r="F25" s="60">
        <f ca="1">Inputs!$D$13/$M$41*$M25</f>
        <v>0</v>
      </c>
      <c r="G25" s="60">
        <f t="shared" ca="1" si="12"/>
        <v>0</v>
      </c>
      <c r="H25" s="60">
        <f t="shared" ca="1" si="4"/>
        <v>0</v>
      </c>
      <c r="I25" s="60">
        <f t="shared" ca="1" si="5"/>
        <v>0</v>
      </c>
      <c r="J25" s="60">
        <f t="shared" ca="1" si="10"/>
        <v>0</v>
      </c>
      <c r="K25" s="60">
        <f t="shared" ca="1" si="0"/>
        <v>0</v>
      </c>
      <c r="L25" s="58">
        <f t="shared" si="1"/>
        <v>4.4970000000000003E-2</v>
      </c>
      <c r="M25" s="60">
        <f ca="1">IF(OR(Calculations!$B5&gt;Calculations!R42,Calculations!R42&gt;Calculations!$B$6),0,($P$41-N26)/(L25+1))</f>
        <v>3978648.5243570274</v>
      </c>
      <c r="N25" s="60">
        <f t="shared" ca="1" si="11"/>
        <v>1021351.4756429725</v>
      </c>
      <c r="O25" s="60">
        <f t="shared" ca="1" si="2"/>
        <v>5000000</v>
      </c>
      <c r="P25" s="59">
        <v>2481782.3180897213</v>
      </c>
      <c r="R25" s="48">
        <f t="shared" ca="1" si="8"/>
        <v>48335</v>
      </c>
      <c r="U25" s="60">
        <f ca="1">U26</f>
        <v>0</v>
      </c>
      <c r="V25" s="60">
        <f t="shared" ca="1" si="6"/>
        <v>0</v>
      </c>
      <c r="W25" s="63" t="str">
        <f ca="1">IF(W24 = "", V24 + V25, IF('Level Debt'!A26="",V25,""))</f>
        <v/>
      </c>
      <c r="Y25" s="48">
        <f t="shared" ca="1" si="9"/>
        <v>48335</v>
      </c>
      <c r="Z25" s="60"/>
      <c r="AB25" s="60">
        <f ca="1">AB26</f>
        <v>0</v>
      </c>
      <c r="AC25" s="60">
        <f t="shared" ca="1" si="7"/>
        <v>0</v>
      </c>
      <c r="AD25" s="63" t="str">
        <f ca="1">IF(AD24 = "", AC24 + AC25, IF('Level Principal'!A26="",AC25,""))</f>
        <v/>
      </c>
    </row>
    <row r="26" spans="1:30" hidden="1" x14ac:dyDescent="0.2">
      <c r="A26" s="46" t="s">
        <v>42</v>
      </c>
      <c r="B26" s="57">
        <v>4.6260000000000003E-2</v>
      </c>
      <c r="D26" s="58">
        <f>IF(NoYears&gt;16,Calculations!T44,0)</f>
        <v>4.6260000000000003E-2</v>
      </c>
      <c r="E26" s="60">
        <f t="shared" ca="1" si="3"/>
        <v>0</v>
      </c>
      <c r="F26" s="60">
        <f ca="1">Inputs!$D$13/$M$41*$M26</f>
        <v>0</v>
      </c>
      <c r="G26" s="60">
        <f t="shared" ca="1" si="12"/>
        <v>0</v>
      </c>
      <c r="H26" s="60">
        <f t="shared" ca="1" si="4"/>
        <v>0</v>
      </c>
      <c r="I26" s="60">
        <f t="shared" ca="1" si="5"/>
        <v>0</v>
      </c>
      <c r="J26" s="60">
        <f t="shared" ca="1" si="10"/>
        <v>0</v>
      </c>
      <c r="K26" s="60">
        <f t="shared" ca="1" si="0"/>
        <v>0</v>
      </c>
      <c r="L26" s="58">
        <f t="shared" si="1"/>
        <v>4.6260000000000003E-2</v>
      </c>
      <c r="M26" s="60">
        <f ca="1">IF(OR(Calculations!$B$5&gt;Calculations!R44,Calculations!R44&gt;Calculations!$B$6),0,($P$41-N27)/(L26+1))</f>
        <v>4157568.3484973633</v>
      </c>
      <c r="N26" s="60">
        <f t="shared" ca="1" si="11"/>
        <v>842431.65150263696</v>
      </c>
      <c r="O26" s="60">
        <f t="shared" ca="1" si="2"/>
        <v>5000000</v>
      </c>
      <c r="P26" s="59">
        <v>2568644.6992228613</v>
      </c>
      <c r="R26" s="48">
        <f t="shared" ca="1" si="8"/>
        <v>48519</v>
      </c>
      <c r="S26" s="60">
        <f ca="1">IF(Calculations!I17&gt;1/2,TRUNC(Calculations!F17)+1,TRUNC(Calculations!F17))</f>
        <v>0</v>
      </c>
      <c r="T26" s="58">
        <f>Calculations!B17</f>
        <v>3.5200000000000002E-2</v>
      </c>
      <c r="U26" s="60">
        <f ca="1">ROUND((S26*T26/1+U27*2)/2,2)</f>
        <v>0</v>
      </c>
      <c r="V26" s="60">
        <f t="shared" ca="1" si="6"/>
        <v>0</v>
      </c>
      <c r="W26" s="63">
        <f ca="1">IF(W25 = "", V25 + V26, IF('Level Debt'!A27="",V26,""))</f>
        <v>0</v>
      </c>
      <c r="Y26" s="48">
        <f t="shared" ca="1" si="9"/>
        <v>48519</v>
      </c>
      <c r="Z26" s="60">
        <f ca="1">IF('Level Principal'!A26&lt;&gt;"",LevelPrincipal,0)</f>
        <v>0</v>
      </c>
      <c r="AA26" s="58">
        <f>Calculations!B17</f>
        <v>3.5200000000000002E-2</v>
      </c>
      <c r="AB26" s="60">
        <f ca="1">IF('Level Principal'!A26="",0,ROUND(((AA26*Z26)+AB27*2)/2,2))</f>
        <v>0</v>
      </c>
      <c r="AC26" s="60">
        <f t="shared" ca="1" si="7"/>
        <v>0</v>
      </c>
      <c r="AD26" s="63">
        <f ca="1">IF(AD25 = "", AC25 + AC26, IF('Level Principal'!A27="",AC26,""))</f>
        <v>0</v>
      </c>
    </row>
    <row r="27" spans="1:30" hidden="1" x14ac:dyDescent="0.2">
      <c r="A27" s="46" t="s">
        <v>43</v>
      </c>
      <c r="B27" s="57">
        <v>4.6920000000000003E-2</v>
      </c>
      <c r="D27" s="58">
        <f>IF(NoYears&gt;17,Calculations!T46,0)</f>
        <v>4.6920000000000003E-2</v>
      </c>
      <c r="E27" s="60">
        <f t="shared" ca="1" si="3"/>
        <v>0</v>
      </c>
      <c r="F27" s="60">
        <f ca="1">Inputs!$D$13/$M$41*$M27</f>
        <v>0</v>
      </c>
      <c r="G27" s="60">
        <f t="shared" ca="1" si="12"/>
        <v>0</v>
      </c>
      <c r="H27" s="60">
        <f t="shared" ca="1" si="4"/>
        <v>0</v>
      </c>
      <c r="I27" s="60">
        <f t="shared" ca="1" si="5"/>
        <v>0</v>
      </c>
      <c r="J27" s="60">
        <f t="shared" ca="1" si="10"/>
        <v>0</v>
      </c>
      <c r="K27" s="60">
        <f t="shared" ca="1" si="0"/>
        <v>0</v>
      </c>
      <c r="L27" s="58">
        <f t="shared" si="1"/>
        <v>4.6920000000000003E-2</v>
      </c>
      <c r="M27" s="60">
        <f ca="1">IF(OR(Calculations!$B5&gt;Calculations!R46,Calculations!R46&gt;Calculations!$B$6),0,($P$41-N28)/(L27+1))</f>
        <v>4349897.4602988502</v>
      </c>
      <c r="N27" s="60">
        <f t="shared" ca="1" si="11"/>
        <v>650102.53970114887</v>
      </c>
      <c r="O27" s="60">
        <f t="shared" ca="1" si="2"/>
        <v>4999999.9999999991</v>
      </c>
      <c r="P27" s="59">
        <v>2661115.9083948843</v>
      </c>
      <c r="R27" s="48">
        <f t="shared" ca="1" si="8"/>
        <v>48700</v>
      </c>
      <c r="U27" s="60">
        <f ca="1">U28</f>
        <v>0</v>
      </c>
      <c r="V27" s="60">
        <f t="shared" ca="1" si="6"/>
        <v>0</v>
      </c>
      <c r="W27" s="63" t="str">
        <f ca="1">IF(W26 = "", V26 + V27, IF('Level Debt'!A28="",V27,""))</f>
        <v/>
      </c>
      <c r="Y27" s="48">
        <f t="shared" ca="1" si="9"/>
        <v>48700</v>
      </c>
      <c r="Z27" s="60"/>
      <c r="AB27" s="60">
        <f ca="1">AB28</f>
        <v>0</v>
      </c>
      <c r="AC27" s="60">
        <f t="shared" ca="1" si="7"/>
        <v>0</v>
      </c>
      <c r="AD27" s="63" t="str">
        <f ca="1">IF(AD26 = "", AC26 + AC27, IF('Level Principal'!A28="",AC27,""))</f>
        <v/>
      </c>
    </row>
    <row r="28" spans="1:30" hidden="1" x14ac:dyDescent="0.2">
      <c r="A28" s="46" t="s">
        <v>44</v>
      </c>
      <c r="B28" s="57">
        <v>4.7579999999999997E-2</v>
      </c>
      <c r="D28" s="58">
        <f>IF(NoYears&gt;18,Calculations!T48,0)</f>
        <v>4.7579999999999997E-2</v>
      </c>
      <c r="E28" s="60">
        <f t="shared" ca="1" si="3"/>
        <v>0</v>
      </c>
      <c r="F28" s="60">
        <f ca="1">Inputs!$D$13/$M$41*$M28</f>
        <v>0</v>
      </c>
      <c r="G28" s="60">
        <f t="shared" ca="1" si="12"/>
        <v>0</v>
      </c>
      <c r="H28" s="60">
        <f t="shared" ca="1" si="4"/>
        <v>0</v>
      </c>
      <c r="I28" s="60">
        <f t="shared" ca="1" si="5"/>
        <v>0</v>
      </c>
      <c r="J28" s="60">
        <f t="shared" ca="1" si="10"/>
        <v>0</v>
      </c>
      <c r="K28" s="60">
        <f t="shared" ca="1" si="0"/>
        <v>0</v>
      </c>
      <c r="L28" s="58">
        <f t="shared" si="1"/>
        <v>4.7579999999999997E-2</v>
      </c>
      <c r="M28" s="60">
        <f ca="1">IF(OR(Calculations!$B5&gt;Calculations!R48,Calculations!R48&gt;Calculations!$B$6),0,($P$41-N29)/(L28+1))</f>
        <v>4553994.6491360739</v>
      </c>
      <c r="N28" s="60">
        <f t="shared" ca="1" si="11"/>
        <v>446005.35086392675</v>
      </c>
      <c r="O28" s="60">
        <f t="shared" ca="1" si="2"/>
        <v>5000000.0000000009</v>
      </c>
      <c r="P28" s="59">
        <v>2759577.197005495</v>
      </c>
      <c r="R28" s="48">
        <f t="shared" ca="1" si="8"/>
        <v>48884</v>
      </c>
      <c r="S28" s="60">
        <f ca="1">IF(Calculations!I18&gt;1/2,TRUNC(Calculations!F18)+1,TRUNC(Calculations!F18))</f>
        <v>0</v>
      </c>
      <c r="T28" s="58">
        <f>Calculations!B18</f>
        <v>3.5400000000000001E-2</v>
      </c>
      <c r="U28" s="60">
        <f ca="1">ROUND((S28*T28/1+U29*2)/2,2)</f>
        <v>0</v>
      </c>
      <c r="V28" s="60">
        <f t="shared" ca="1" si="6"/>
        <v>0</v>
      </c>
      <c r="W28" s="63">
        <f ca="1">IF(W27 = "", V27 + V28, IF('Level Debt'!A29="",V28,""))</f>
        <v>0</v>
      </c>
      <c r="Y28" s="48">
        <f t="shared" ca="1" si="9"/>
        <v>48884</v>
      </c>
      <c r="Z28" s="60">
        <f ca="1">IF('Level Principal'!A28&lt;&gt;"",LevelPrincipal,0)</f>
        <v>0</v>
      </c>
      <c r="AA28" s="58">
        <f>Calculations!B18</f>
        <v>3.5400000000000001E-2</v>
      </c>
      <c r="AB28" s="60">
        <f ca="1">IF('Level Principal'!A28="",0,ROUND(((AA28*Z28)+AB29*2)/2,2))</f>
        <v>0</v>
      </c>
      <c r="AC28" s="60">
        <f t="shared" ca="1" si="7"/>
        <v>0</v>
      </c>
      <c r="AD28" s="63">
        <f ca="1">IF(AD27 = "", AC27 + AC28, IF('Level Principal'!A29="",AC28,""))</f>
        <v>0</v>
      </c>
    </row>
    <row r="29" spans="1:30" hidden="1" x14ac:dyDescent="0.2">
      <c r="A29" s="46" t="s">
        <v>45</v>
      </c>
      <c r="B29" s="57">
        <v>4.8070000000000002E-2</v>
      </c>
      <c r="D29" s="58">
        <f>IF(NoYears&gt;19,Calculations!T50,0)</f>
        <v>4.8070000000000002E-2</v>
      </c>
      <c r="E29" s="60">
        <f t="shared" ca="1" si="3"/>
        <v>0</v>
      </c>
      <c r="F29" s="60">
        <f ca="1">Inputs!$D$13/$M$41*$M29</f>
        <v>0</v>
      </c>
      <c r="G29" s="60">
        <f t="shared" ca="1" si="12"/>
        <v>0</v>
      </c>
      <c r="H29" s="60">
        <f t="shared" ca="1" si="4"/>
        <v>0</v>
      </c>
      <c r="I29" s="60">
        <f t="shared" ca="1" si="5"/>
        <v>0</v>
      </c>
      <c r="J29" s="60">
        <f t="shared" ca="1" si="10"/>
        <v>0</v>
      </c>
      <c r="K29" s="60">
        <f t="shared" ca="1" si="0"/>
        <v>0</v>
      </c>
      <c r="L29" s="58">
        <f t="shared" si="1"/>
        <v>4.8070000000000002E-2</v>
      </c>
      <c r="M29" s="60">
        <f ca="1">IF(OR(Calculations!$B5&gt;Calculations!R50,Calculations!R50&gt;Calculations!$B$6),0,($P$41-N30)/(L29+1))</f>
        <v>4770673.714541967</v>
      </c>
      <c r="N29" s="60">
        <f t="shared" ca="1" si="11"/>
        <v>229326.28545803236</v>
      </c>
      <c r="O29" s="60">
        <f t="shared" ca="1" si="2"/>
        <v>4999999.9999999991</v>
      </c>
      <c r="P29" s="59">
        <v>2864441.1304917042</v>
      </c>
      <c r="R29" s="48">
        <f t="shared" ca="1" si="8"/>
        <v>49065</v>
      </c>
      <c r="U29" s="60">
        <f ca="1">U30</f>
        <v>0</v>
      </c>
      <c r="V29" s="60">
        <f t="shared" ca="1" si="6"/>
        <v>0</v>
      </c>
      <c r="W29" s="63" t="str">
        <f ca="1">IF(W28 = "", V28 + V29, IF('Level Debt'!A30="",V29,""))</f>
        <v/>
      </c>
      <c r="Y29" s="48">
        <f t="shared" ca="1" si="9"/>
        <v>49065</v>
      </c>
      <c r="Z29" s="60"/>
      <c r="AB29" s="60">
        <f ca="1">AB30</f>
        <v>0</v>
      </c>
      <c r="AC29" s="60">
        <f t="shared" ca="1" si="7"/>
        <v>0</v>
      </c>
      <c r="AD29" s="63" t="str">
        <f ca="1">IF(AD28 = "", AC28 + AC29, IF('Level Principal'!A30="",AC29,""))</f>
        <v/>
      </c>
    </row>
    <row r="30" spans="1:30" hidden="1" x14ac:dyDescent="0.2">
      <c r="A30" s="46" t="s">
        <v>46</v>
      </c>
      <c r="B30" s="57">
        <v>4.9000000000000002E-2</v>
      </c>
      <c r="D30" s="58">
        <f>IF(NoYears&gt;20,Calculations!T52,0)</f>
        <v>0</v>
      </c>
      <c r="E30" s="60">
        <f t="shared" ca="1" si="3"/>
        <v>0</v>
      </c>
      <c r="F30" s="60">
        <f ca="1">Inputs!$D$13/$M$41*$M30</f>
        <v>0</v>
      </c>
      <c r="G30" s="60">
        <f t="shared" ca="1" si="12"/>
        <v>0</v>
      </c>
      <c r="H30" s="60">
        <f t="shared" ca="1" si="4"/>
        <v>0</v>
      </c>
      <c r="I30" s="60">
        <f t="shared" ca="1" si="5"/>
        <v>0</v>
      </c>
      <c r="J30" s="60">
        <f t="shared" ca="1" si="10"/>
        <v>0</v>
      </c>
      <c r="K30" s="60">
        <f t="shared" ca="1" si="0"/>
        <v>0</v>
      </c>
      <c r="L30" s="58">
        <f t="shared" si="1"/>
        <v>0</v>
      </c>
      <c r="M30" s="60">
        <f ca="1">IF(OR(Calculations!$B$5&gt;Calculations!R52,Calculations!R52&gt;Calculations!$B$6),0,($P$41-N31)/(L30+1))</f>
        <v>0</v>
      </c>
      <c r="N30" s="60">
        <f t="shared" ca="1" si="11"/>
        <v>0</v>
      </c>
      <c r="O30" s="60">
        <f t="shared" ca="1" si="2"/>
        <v>0</v>
      </c>
      <c r="P30" s="59">
        <v>2976154.3345808806</v>
      </c>
      <c r="R30" s="48">
        <f t="shared" ca="1" si="8"/>
        <v>49249</v>
      </c>
      <c r="S30" s="60">
        <f ca="1">IF(Calculations!I19&gt;1/2,TRUNC(Calculations!F19)+1,TRUNC(Calculations!F19))</f>
        <v>0</v>
      </c>
      <c r="T30" s="58">
        <f>Calculations!B19</f>
        <v>3.5799999999999998E-2</v>
      </c>
      <c r="U30" s="60">
        <f ca="1">ROUND((S30*T30/1+U31*2)/2,2)</f>
        <v>0</v>
      </c>
      <c r="V30" s="60">
        <f t="shared" ca="1" si="6"/>
        <v>0</v>
      </c>
      <c r="W30" s="63">
        <f ca="1">IF(W29 = "", V29 + V30, IF('Level Debt'!A31="",V30,""))</f>
        <v>0</v>
      </c>
      <c r="Y30" s="48">
        <f t="shared" ca="1" si="9"/>
        <v>49249</v>
      </c>
      <c r="Z30" s="60">
        <f ca="1">IF('Level Principal'!A30&lt;&gt;"",LevelPrincipal,0)</f>
        <v>0</v>
      </c>
      <c r="AA30" s="58">
        <f>Calculations!B19</f>
        <v>3.5799999999999998E-2</v>
      </c>
      <c r="AB30" s="60">
        <f ca="1">IF('Level Principal'!A30="",0,ROUND(((AA30*Z30)+AB31*2)/2,2))</f>
        <v>0</v>
      </c>
      <c r="AC30" s="60">
        <f t="shared" ca="1" si="7"/>
        <v>0</v>
      </c>
      <c r="AD30" s="63">
        <f ca="1">IF(AD29 = "", AC29 + AC30, IF('Level Principal'!A31="",AC30,""))</f>
        <v>0</v>
      </c>
    </row>
    <row r="31" spans="1:30" hidden="1" x14ac:dyDescent="0.2">
      <c r="A31" s="46" t="s">
        <v>47</v>
      </c>
      <c r="B31" s="57">
        <v>4.9000000000000002E-2</v>
      </c>
      <c r="D31" s="58">
        <f>IF(NoYears&gt;21,Calculations!T54,0)</f>
        <v>0</v>
      </c>
      <c r="E31" s="60">
        <f t="shared" ca="1" si="3"/>
        <v>0</v>
      </c>
      <c r="F31" s="60">
        <f ca="1">Inputs!$D$13/$M$41*$M31</f>
        <v>0</v>
      </c>
      <c r="G31" s="60">
        <f t="shared" ca="1" si="12"/>
        <v>0</v>
      </c>
      <c r="H31" s="60">
        <f t="shared" ca="1" si="4"/>
        <v>0</v>
      </c>
      <c r="I31" s="60">
        <f t="shared" ca="1" si="5"/>
        <v>0</v>
      </c>
      <c r="J31" s="60">
        <f t="shared" ca="1" si="10"/>
        <v>0</v>
      </c>
      <c r="K31" s="60">
        <f t="shared" ca="1" si="0"/>
        <v>0</v>
      </c>
      <c r="L31" s="58">
        <f t="shared" si="1"/>
        <v>0</v>
      </c>
      <c r="M31" s="60">
        <f ca="1">IF(OR(Calculations!$B5&gt;Calculations!R54,Calculations!R54&gt;Calculations!$B$6),0,($P$41-N32)/(L31+1))</f>
        <v>0</v>
      </c>
      <c r="N31" s="60">
        <f t="shared" ca="1" si="11"/>
        <v>0</v>
      </c>
      <c r="O31" s="60">
        <f t="shared" ca="1" si="2"/>
        <v>0</v>
      </c>
      <c r="P31" s="59">
        <v>3133890.5143136671</v>
      </c>
      <c r="R31" s="48">
        <f t="shared" ca="1" si="8"/>
        <v>49430</v>
      </c>
      <c r="U31" s="60">
        <f ca="1">U32</f>
        <v>0</v>
      </c>
      <c r="V31" s="60">
        <f t="shared" ca="1" si="6"/>
        <v>0</v>
      </c>
      <c r="W31" s="63" t="str">
        <f ca="1">IF(W30 = "", V30 + V31, IF('Level Debt'!A32="",V31,""))</f>
        <v/>
      </c>
      <c r="Y31" s="48">
        <f t="shared" ca="1" si="9"/>
        <v>49430</v>
      </c>
      <c r="Z31" s="60"/>
      <c r="AB31" s="60">
        <f ca="1">AB32</f>
        <v>0</v>
      </c>
      <c r="AC31" s="60">
        <f t="shared" ca="1" si="7"/>
        <v>0</v>
      </c>
      <c r="AD31" s="63" t="str">
        <f ca="1">IF(AD30 = "", AC30 + AC31, IF('Level Principal'!A32="",AC31,""))</f>
        <v/>
      </c>
    </row>
    <row r="32" spans="1:30" hidden="1" x14ac:dyDescent="0.2">
      <c r="A32" s="46" t="s">
        <v>48</v>
      </c>
      <c r="B32" s="57">
        <v>4.9000000000000002E-2</v>
      </c>
      <c r="D32" s="58">
        <f>IF(NoYears&gt;22,Calculations!T56,0)</f>
        <v>0</v>
      </c>
      <c r="E32" s="60">
        <f t="shared" ca="1" si="3"/>
        <v>0</v>
      </c>
      <c r="F32" s="60">
        <f ca="1">Inputs!$D$13/$M$41*$M32</f>
        <v>0</v>
      </c>
      <c r="G32" s="60">
        <f t="shared" ca="1" si="12"/>
        <v>0</v>
      </c>
      <c r="H32" s="60">
        <f t="shared" ca="1" si="4"/>
        <v>0</v>
      </c>
      <c r="I32" s="60">
        <f t="shared" ca="1" si="5"/>
        <v>0</v>
      </c>
      <c r="J32" s="60">
        <f t="shared" ca="1" si="10"/>
        <v>0</v>
      </c>
      <c r="K32" s="60">
        <f t="shared" ca="1" si="0"/>
        <v>0</v>
      </c>
      <c r="L32" s="58">
        <f t="shared" si="1"/>
        <v>0</v>
      </c>
      <c r="M32" s="60">
        <f ca="1">IF(OR(Calculations!$B5&gt;Calculations!R56,Calculations!R56&gt;Calculations!$B$6),0,($P$41-N33)/(L32+1))</f>
        <v>0</v>
      </c>
      <c r="N32" s="60">
        <f t="shared" ca="1" si="11"/>
        <v>0</v>
      </c>
      <c r="O32" s="60">
        <f t="shared" ca="1" si="2"/>
        <v>0</v>
      </c>
      <c r="P32" s="59">
        <v>3299986.7115722918</v>
      </c>
      <c r="R32" s="48">
        <f t="shared" ca="1" si="8"/>
        <v>49614</v>
      </c>
      <c r="S32" s="60">
        <f ca="1">IF(Calculations!I20&gt;1/2,TRUNC(Calculations!F20)+1,TRUNC(Calculations!F20))</f>
        <v>0</v>
      </c>
      <c r="T32" s="58">
        <f>Calculations!B20</f>
        <v>3.7969999999999997E-2</v>
      </c>
      <c r="U32" s="60">
        <f ca="1">ROUND((S32*T32/1+U33*2)/2,2)</f>
        <v>0</v>
      </c>
      <c r="V32" s="60">
        <f t="shared" ca="1" si="6"/>
        <v>0</v>
      </c>
      <c r="W32" s="63">
        <f ca="1">IF(W31 = "", V31 + V32, IF('Level Debt'!A33="",V32,""))</f>
        <v>0</v>
      </c>
      <c r="Y32" s="48">
        <f t="shared" ca="1" si="9"/>
        <v>49614</v>
      </c>
      <c r="Z32" s="60">
        <f ca="1">IF('Level Principal'!A32&lt;&gt;"",LevelPrincipal,0)</f>
        <v>0</v>
      </c>
      <c r="AA32" s="58">
        <f>Calculations!B20</f>
        <v>3.7969999999999997E-2</v>
      </c>
      <c r="AB32" s="60">
        <f ca="1">IF('Level Principal'!A32="",0,ROUND(((AA32*Z32)+AB33*2)/2,2))</f>
        <v>0</v>
      </c>
      <c r="AC32" s="60">
        <f t="shared" ca="1" si="7"/>
        <v>0</v>
      </c>
      <c r="AD32" s="63">
        <f ca="1">IF(AD31 = "", AC31 + AC32, IF('Level Principal'!A33="",AC32,""))</f>
        <v>0</v>
      </c>
    </row>
    <row r="33" spans="1:30" hidden="1" x14ac:dyDescent="0.2">
      <c r="A33" s="46" t="s">
        <v>49</v>
      </c>
      <c r="B33" s="57">
        <v>4.9000000000000002E-2</v>
      </c>
      <c r="D33" s="58">
        <f>IF(NoYears&gt;23,Calculations!T58,0)</f>
        <v>0</v>
      </c>
      <c r="E33" s="60">
        <f t="shared" ca="1" si="3"/>
        <v>0</v>
      </c>
      <c r="F33" s="60">
        <f ca="1">Inputs!$D$13/$M$41*$M33</f>
        <v>0</v>
      </c>
      <c r="G33" s="60">
        <f t="shared" ca="1" si="12"/>
        <v>0</v>
      </c>
      <c r="H33" s="60">
        <f t="shared" ca="1" si="4"/>
        <v>0</v>
      </c>
      <c r="I33" s="60">
        <f t="shared" ca="1" si="5"/>
        <v>0</v>
      </c>
      <c r="J33" s="60">
        <f t="shared" ca="1" si="10"/>
        <v>0</v>
      </c>
      <c r="K33" s="60">
        <f t="shared" ca="1" si="0"/>
        <v>0</v>
      </c>
      <c r="L33" s="58">
        <f t="shared" si="1"/>
        <v>0</v>
      </c>
      <c r="M33" s="60">
        <f ca="1">IF(OR(Calculations!$B5&gt;Calculations!R58,Calculations!R58&gt;Calculations!$B$6),0,($P$41-N34)/(L33+1))</f>
        <v>0</v>
      </c>
      <c r="N33" s="60">
        <f t="shared" ca="1" si="11"/>
        <v>0</v>
      </c>
      <c r="O33" s="60">
        <f t="shared" ca="1" si="2"/>
        <v>0</v>
      </c>
      <c r="P33" s="59">
        <v>3474886.0072856233</v>
      </c>
      <c r="R33" s="48">
        <f t="shared" ca="1" si="8"/>
        <v>49796</v>
      </c>
      <c r="U33" s="60">
        <f ca="1">U34</f>
        <v>0</v>
      </c>
      <c r="V33" s="60">
        <f t="shared" ca="1" si="6"/>
        <v>0</v>
      </c>
      <c r="W33" s="63" t="str">
        <f ca="1">IF(W32 = "", V32 + V33, IF('Level Debt'!A34="",V33,""))</f>
        <v/>
      </c>
      <c r="Y33" s="48">
        <f t="shared" ca="1" si="9"/>
        <v>49796</v>
      </c>
      <c r="Z33" s="60"/>
      <c r="AB33" s="60">
        <f ca="1">AB34</f>
        <v>0</v>
      </c>
      <c r="AC33" s="60">
        <f t="shared" ca="1" si="7"/>
        <v>0</v>
      </c>
      <c r="AD33" s="63" t="str">
        <f ca="1">IF(AD32 = "", AC32 + AC33, IF('Level Principal'!A34="",AC33,""))</f>
        <v/>
      </c>
    </row>
    <row r="34" spans="1:30" ht="12.75" hidden="1" customHeight="1" x14ac:dyDescent="0.25">
      <c r="A34" s="46" t="s">
        <v>50</v>
      </c>
      <c r="B34" s="57">
        <v>4.8899999999999999E-2</v>
      </c>
      <c r="C34" s="55"/>
      <c r="D34" s="58">
        <f>IF(NoYears&gt;24,Calculations!T60,0)</f>
        <v>0</v>
      </c>
      <c r="E34" s="60">
        <f t="shared" ca="1" si="3"/>
        <v>0</v>
      </c>
      <c r="F34" s="60">
        <f ca="1">Inputs!$D$13/$M$41*$M34</f>
        <v>0</v>
      </c>
      <c r="G34" s="60">
        <f t="shared" ca="1" si="12"/>
        <v>0</v>
      </c>
      <c r="H34" s="60">
        <f t="shared" ca="1" si="4"/>
        <v>0</v>
      </c>
      <c r="I34" s="60">
        <f t="shared" ca="1" si="5"/>
        <v>0</v>
      </c>
      <c r="J34" s="60">
        <f t="shared" ca="1" si="10"/>
        <v>0</v>
      </c>
      <c r="K34" s="60">
        <f t="shared" ca="1" si="0"/>
        <v>0</v>
      </c>
      <c r="L34" s="58">
        <f t="shared" si="1"/>
        <v>0</v>
      </c>
      <c r="M34" s="60">
        <f ca="1">IF(OR(Calculations!$B$5&gt;Calculations!R60,Calculations!R60&gt;Calculations!$B$6),0,($P$41-N35)/(L34+1))</f>
        <v>0</v>
      </c>
      <c r="N34" s="60">
        <f t="shared" ca="1" si="11"/>
        <v>0</v>
      </c>
      <c r="O34" s="60">
        <f t="shared" ca="1" si="2"/>
        <v>0</v>
      </c>
      <c r="P34" s="59">
        <v>3659054.9656717614</v>
      </c>
      <c r="R34" s="48">
        <f t="shared" ca="1" si="8"/>
        <v>49980</v>
      </c>
      <c r="S34" s="60">
        <f ca="1">IF(Calculations!I21&gt;1/2,TRUNC(Calculations!F21)+1,TRUNC(Calculations!F21))</f>
        <v>0</v>
      </c>
      <c r="T34" s="58">
        <f>Calculations!B21</f>
        <v>3.9640000000000002E-2</v>
      </c>
      <c r="U34" s="60">
        <f ca="1">ROUND((S34*T34/1+U35*2)/2,2)</f>
        <v>0</v>
      </c>
      <c r="V34" s="60">
        <f t="shared" ca="1" si="6"/>
        <v>0</v>
      </c>
      <c r="W34" s="63">
        <f ca="1">IF(W33 = "", V33 + V34, IF('Level Debt'!A35="",V34,""))</f>
        <v>0</v>
      </c>
      <c r="Y34" s="48">
        <f t="shared" ca="1" si="9"/>
        <v>49980</v>
      </c>
      <c r="Z34" s="60">
        <f ca="1">IF('Level Principal'!A34&lt;&gt;"",LevelPrincipal,0)</f>
        <v>0</v>
      </c>
      <c r="AA34" s="58">
        <f>Calculations!B21</f>
        <v>3.9640000000000002E-2</v>
      </c>
      <c r="AB34" s="60">
        <f ca="1">IF('Level Principal'!A34="",0,ROUND(((AA34*Z34)+AB35*2)/2,2))</f>
        <v>0</v>
      </c>
      <c r="AC34" s="60">
        <f t="shared" ca="1" si="7"/>
        <v>0</v>
      </c>
      <c r="AD34" s="63">
        <f ca="1">IF(AD33 = "", AC33 + AC34, IF('Level Principal'!A35="",AC34,""))</f>
        <v>0</v>
      </c>
    </row>
    <row r="35" spans="1:30" hidden="1" x14ac:dyDescent="0.2">
      <c r="A35" s="46" t="s">
        <v>51</v>
      </c>
      <c r="B35" s="57">
        <v>5.1339999999999997E-2</v>
      </c>
      <c r="D35" s="58">
        <f>IF(NoYears&gt;25,Calculations!T62,0)</f>
        <v>0</v>
      </c>
      <c r="E35" s="60">
        <f t="shared" ca="1" si="3"/>
        <v>0</v>
      </c>
      <c r="F35" s="60">
        <f ca="1">Inputs!$D$13/$M$41*$M35</f>
        <v>0</v>
      </c>
      <c r="G35" s="60">
        <f t="shared" ca="1" si="12"/>
        <v>0</v>
      </c>
      <c r="H35" s="60">
        <f t="shared" ca="1" si="4"/>
        <v>0</v>
      </c>
      <c r="I35" s="60">
        <f t="shared" ca="1" si="5"/>
        <v>0</v>
      </c>
      <c r="J35" s="60">
        <f t="shared" ca="1" si="10"/>
        <v>0</v>
      </c>
      <c r="K35" s="60">
        <f t="shared" ca="1" si="0"/>
        <v>0</v>
      </c>
      <c r="L35" s="58">
        <f t="shared" si="1"/>
        <v>0</v>
      </c>
      <c r="M35" s="60">
        <f ca="1">IF(OR(Calculations!$B5&gt;Calculations!R62,Calculations!R62&gt;Calculations!$B$6),0,($P$41-N36)/(L35+1))</f>
        <v>0</v>
      </c>
      <c r="N35" s="60">
        <f t="shared" ca="1" si="11"/>
        <v>0</v>
      </c>
      <c r="O35" s="60">
        <f t="shared" ca="1" si="2"/>
        <v>0</v>
      </c>
      <c r="P35" s="59">
        <v>3852984.8788523641</v>
      </c>
      <c r="R35" s="48">
        <f t="shared" ca="1" si="8"/>
        <v>50161</v>
      </c>
      <c r="U35" s="60">
        <f ca="1">U36</f>
        <v>0</v>
      </c>
      <c r="V35" s="60">
        <f t="shared" ca="1" si="6"/>
        <v>0</v>
      </c>
      <c r="W35" s="63" t="str">
        <f ca="1">IF(W34 = "", V34 + V35, IF('Level Debt'!A36="",V35,""))</f>
        <v/>
      </c>
      <c r="Y35" s="48">
        <f t="shared" ca="1" si="9"/>
        <v>50161</v>
      </c>
      <c r="Z35" s="60"/>
      <c r="AB35" s="60">
        <f ca="1">AB36</f>
        <v>0</v>
      </c>
      <c r="AC35" s="60">
        <f t="shared" ca="1" si="7"/>
        <v>0</v>
      </c>
      <c r="AD35" s="63" t="str">
        <f ca="1">IF(AD34 = "", AC34 + AC35, IF('Level Principal'!A36="",AC35,""))</f>
        <v/>
      </c>
    </row>
    <row r="36" spans="1:30" hidden="1" x14ac:dyDescent="0.2">
      <c r="A36" s="46" t="s">
        <v>52</v>
      </c>
      <c r="B36" s="57">
        <v>5.1339999999999997E-2</v>
      </c>
      <c r="C36" s="65"/>
      <c r="D36" s="58">
        <f>IF(NoYears&gt;26,Calculations!T64,0)</f>
        <v>0</v>
      </c>
      <c r="E36" s="60">
        <f t="shared" ca="1" si="3"/>
        <v>0</v>
      </c>
      <c r="F36" s="60">
        <f ca="1">Inputs!$D$13/$M$41*$M36</f>
        <v>0</v>
      </c>
      <c r="G36" s="60">
        <f t="shared" ca="1" si="12"/>
        <v>0</v>
      </c>
      <c r="H36" s="60">
        <f t="shared" ca="1" si="4"/>
        <v>0</v>
      </c>
      <c r="I36" s="60">
        <f t="shared" ca="1" si="5"/>
        <v>0</v>
      </c>
      <c r="J36" s="60">
        <f t="shared" ca="1" si="10"/>
        <v>0</v>
      </c>
      <c r="K36" s="60">
        <f t="shared" ca="1" si="0"/>
        <v>0</v>
      </c>
      <c r="L36" s="58">
        <f t="shared" si="1"/>
        <v>0</v>
      </c>
      <c r="M36" s="60">
        <f ca="1">IF(OR(Calculations!$B5&gt;Calculations!R64,Calculations!R64&gt;Calculations!$B$6),0,($P$41-N37)/(L36+1))</f>
        <v>0</v>
      </c>
      <c r="N36" s="60">
        <f t="shared" ca="1" si="11"/>
        <v>0</v>
      </c>
      <c r="O36" s="60">
        <f t="shared" ca="1" si="2"/>
        <v>0</v>
      </c>
      <c r="P36" s="59">
        <v>4059119.5698709651</v>
      </c>
      <c r="R36" s="48">
        <f t="shared" ca="1" si="8"/>
        <v>50345</v>
      </c>
      <c r="S36" s="60">
        <f ca="1">IF(Calculations!I22&gt;1/2,TRUNC(Calculations!F22)+1,TRUNC(Calculations!F22))</f>
        <v>0</v>
      </c>
      <c r="T36" s="58">
        <f>Calculations!B22</f>
        <v>4.1500000000000002E-2</v>
      </c>
      <c r="U36" s="60">
        <f ca="1">ROUND((S36*T36/1+U37*2)/2,2)</f>
        <v>0</v>
      </c>
      <c r="V36" s="60">
        <f t="shared" ca="1" si="6"/>
        <v>0</v>
      </c>
      <c r="W36" s="63">
        <f ca="1">IF(W35 = "", V35 + V36, IF('Level Debt'!A37="",V36,""))</f>
        <v>0</v>
      </c>
      <c r="Y36" s="48">
        <f t="shared" ca="1" si="9"/>
        <v>50345</v>
      </c>
      <c r="Z36" s="60">
        <f ca="1">IF('Level Principal'!A36&lt;&gt;"",LevelPrincipal,0)</f>
        <v>0</v>
      </c>
      <c r="AA36" s="58">
        <f>Calculations!B22</f>
        <v>4.1500000000000002E-2</v>
      </c>
      <c r="AB36" s="60">
        <f ca="1">IF('Level Principal'!A36="",0,ROUND(((AA36*Z36)+AB37*2)/2,2))</f>
        <v>0</v>
      </c>
      <c r="AC36" s="60">
        <f t="shared" ca="1" si="7"/>
        <v>0</v>
      </c>
      <c r="AD36" s="63">
        <f ca="1">IF(AD35 = "", AC35 + AC36, IF('Level Principal'!A37="",AC36,""))</f>
        <v>0</v>
      </c>
    </row>
    <row r="37" spans="1:30" hidden="1" x14ac:dyDescent="0.2">
      <c r="A37" s="46" t="s">
        <v>53</v>
      </c>
      <c r="B37" s="57">
        <v>5.1339999999999997E-2</v>
      </c>
      <c r="C37" s="65"/>
      <c r="D37" s="58">
        <f>IF(NoYears&gt;27,Calculations!T66,0)</f>
        <v>0</v>
      </c>
      <c r="E37" s="60">
        <f t="shared" ca="1" si="3"/>
        <v>0</v>
      </c>
      <c r="F37" s="60">
        <f ca="1">Inputs!$D$13/$M$41*$M37</f>
        <v>0</v>
      </c>
      <c r="G37" s="60">
        <f t="shared" ca="1" si="12"/>
        <v>0</v>
      </c>
      <c r="H37" s="60">
        <f t="shared" ca="1" si="4"/>
        <v>0</v>
      </c>
      <c r="I37" s="60">
        <f t="shared" ca="1" si="5"/>
        <v>0</v>
      </c>
      <c r="J37" s="60">
        <f t="shared" ca="1" si="10"/>
        <v>0</v>
      </c>
      <c r="K37" s="60">
        <f t="shared" ca="1" si="0"/>
        <v>0</v>
      </c>
      <c r="L37" s="58">
        <f t="shared" si="1"/>
        <v>0</v>
      </c>
      <c r="M37" s="60">
        <f ca="1">IF(OR(Calculations!$B5&gt;Calculations!R66,Calculations!R66&gt;Calculations!$B$6),0,($P$41-N38)/(L37+1))</f>
        <v>0</v>
      </c>
      <c r="N37" s="60">
        <f t="shared" ca="1" si="11"/>
        <v>0</v>
      </c>
      <c r="O37" s="60">
        <f t="shared" ca="1" si="2"/>
        <v>0</v>
      </c>
      <c r="P37" s="59">
        <v>4276282.4668590613</v>
      </c>
      <c r="R37" s="48">
        <f t="shared" ca="1" si="8"/>
        <v>50526</v>
      </c>
      <c r="U37" s="60">
        <f ca="1">U38</f>
        <v>0</v>
      </c>
      <c r="V37" s="60">
        <f t="shared" ca="1" si="6"/>
        <v>0</v>
      </c>
      <c r="W37" s="63" t="str">
        <f ca="1">IF(W36 = "", V36 + V37, IF('Level Debt'!A38="",V37,""))</f>
        <v/>
      </c>
      <c r="Y37" s="48">
        <f t="shared" ca="1" si="9"/>
        <v>50526</v>
      </c>
      <c r="Z37" s="60"/>
      <c r="AB37" s="60">
        <f ca="1">AB38</f>
        <v>0</v>
      </c>
      <c r="AC37" s="60">
        <f t="shared" ca="1" si="7"/>
        <v>0</v>
      </c>
      <c r="AD37" s="63" t="str">
        <f ca="1">IF(AD36 = "", AC36 + AC37, IF('Level Principal'!A38="",AC37,""))</f>
        <v/>
      </c>
    </row>
    <row r="38" spans="1:30" hidden="1" x14ac:dyDescent="0.2">
      <c r="A38" s="46" t="s">
        <v>54</v>
      </c>
      <c r="B38" s="57">
        <v>5.1339999999999997E-2</v>
      </c>
      <c r="C38" s="65"/>
      <c r="D38" s="58">
        <f>IF(NoYears&gt;28,Calculations!T68,0)</f>
        <v>0</v>
      </c>
      <c r="E38" s="60">
        <f t="shared" ca="1" si="3"/>
        <v>0</v>
      </c>
      <c r="F38" s="60">
        <f ca="1">Inputs!$D$13/$M$41*$M38</f>
        <v>0</v>
      </c>
      <c r="G38" s="60">
        <f t="shared" ca="1" si="12"/>
        <v>0</v>
      </c>
      <c r="H38" s="60">
        <f t="shared" ca="1" si="4"/>
        <v>0</v>
      </c>
      <c r="I38" s="60">
        <f t="shared" ca="1" si="5"/>
        <v>0</v>
      </c>
      <c r="J38" s="60">
        <f t="shared" ca="1" si="10"/>
        <v>0</v>
      </c>
      <c r="K38" s="60">
        <f t="shared" ca="1" si="0"/>
        <v>0</v>
      </c>
      <c r="L38" s="58">
        <f t="shared" si="1"/>
        <v>0</v>
      </c>
      <c r="M38" s="60">
        <f ca="1">IF(OR(Calculations!$B$5&gt;Calculations!R68,Calculations!R68&gt;Calculations!$B$6),0,($P$41-N39)/(L38+1))</f>
        <v>0</v>
      </c>
      <c r="N38" s="60">
        <f t="shared" ca="1" si="11"/>
        <v>0</v>
      </c>
      <c r="O38" s="60">
        <f t="shared" ca="1" si="2"/>
        <v>0</v>
      </c>
      <c r="P38" s="59">
        <v>4505063.5788360219</v>
      </c>
      <c r="R38" s="48">
        <f t="shared" ca="1" si="8"/>
        <v>50710</v>
      </c>
      <c r="S38" s="60">
        <f ca="1">IF(Calculations!I23&gt;1/2,TRUNC(Calculations!F23)+1,TRUNC(Calculations!F23))</f>
        <v>0</v>
      </c>
      <c r="T38" s="58">
        <f>Calculations!B23</f>
        <v>4.258E-2</v>
      </c>
      <c r="U38" s="60">
        <f ca="1">ROUND((S38*T38/1+U39*2)/2,2)</f>
        <v>0</v>
      </c>
      <c r="V38" s="60">
        <f t="shared" ca="1" si="6"/>
        <v>0</v>
      </c>
      <c r="W38" s="63">
        <f ca="1">IF(W37 = "", V37 + V38, IF('Level Debt'!A39="",V38,""))</f>
        <v>0</v>
      </c>
      <c r="Y38" s="48">
        <f t="shared" ca="1" si="9"/>
        <v>50710</v>
      </c>
      <c r="Z38" s="60">
        <f ca="1">IF('Level Principal'!A38&lt;&gt;"",LevelPrincipal,0)</f>
        <v>0</v>
      </c>
      <c r="AA38" s="58">
        <f>Calculations!B23</f>
        <v>4.258E-2</v>
      </c>
      <c r="AB38" s="60">
        <f ca="1">IF('Level Principal'!A38="",0,ROUND(((AA38*Z38)+AB39*2)/2,2))</f>
        <v>0</v>
      </c>
      <c r="AC38" s="60">
        <f t="shared" ca="1" si="7"/>
        <v>0</v>
      </c>
      <c r="AD38" s="63">
        <f ca="1">IF(AD37 = "", AC37 + AC38, IF('Level Principal'!A39="",AC38,""))</f>
        <v>0</v>
      </c>
    </row>
    <row r="39" spans="1:30" hidden="1" x14ac:dyDescent="0.2">
      <c r="A39" s="46" t="s">
        <v>55</v>
      </c>
      <c r="B39" s="57">
        <v>5.1339999999999997E-2</v>
      </c>
      <c r="C39" s="65"/>
      <c r="D39" s="58">
        <f>IF(NoYears&gt;29,Calculations!T70,0)</f>
        <v>0</v>
      </c>
      <c r="E39" s="60">
        <f ca="1">E38+F39</f>
        <v>0</v>
      </c>
      <c r="F39" s="60">
        <f ca="1">Inputs!$D$13/$M$41*$M39</f>
        <v>0</v>
      </c>
      <c r="G39" s="60">
        <f t="shared" ca="1" si="12"/>
        <v>0</v>
      </c>
      <c r="H39" s="60">
        <f t="shared" ca="1" si="4"/>
        <v>0</v>
      </c>
      <c r="I39" s="60">
        <f ca="1">E39-H39</f>
        <v>0</v>
      </c>
      <c r="J39" s="60">
        <f t="shared" ca="1" si="10"/>
        <v>0</v>
      </c>
      <c r="K39" s="60">
        <f t="shared" ca="1" si="0"/>
        <v>0</v>
      </c>
      <c r="L39" s="58">
        <f t="shared" si="1"/>
        <v>0</v>
      </c>
      <c r="M39" s="60">
        <f ca="1">IF(OR(Calculations!$B66&gt;Calculations!R70,Calculations!R70&gt;Calculations!$B$6),0,($P$41-N40)/(L39+1))</f>
        <v>0</v>
      </c>
      <c r="N39" s="60">
        <f ca="1">M39*L39+N40</f>
        <v>0</v>
      </c>
      <c r="O39" s="60">
        <f t="shared" ca="1" si="2"/>
        <v>0</v>
      </c>
      <c r="P39" s="59">
        <v>4746084.4803037485</v>
      </c>
      <c r="R39" s="48">
        <f t="shared" ca="1" si="8"/>
        <v>50891</v>
      </c>
      <c r="U39" s="60">
        <f ca="1">U40</f>
        <v>0</v>
      </c>
      <c r="V39" s="60">
        <f t="shared" ca="1" si="6"/>
        <v>0</v>
      </c>
      <c r="W39" s="63" t="str">
        <f ca="1">IF(W38 = "", V38 + V39, IF('Level Debt'!A40="",V39,""))</f>
        <v/>
      </c>
      <c r="Y39" s="48">
        <f t="shared" ca="1" si="9"/>
        <v>50891</v>
      </c>
      <c r="Z39" s="60"/>
      <c r="AB39" s="60">
        <f ca="1">AB40</f>
        <v>0</v>
      </c>
      <c r="AC39" s="60">
        <f t="shared" ca="1" si="7"/>
        <v>0</v>
      </c>
      <c r="AD39" s="63" t="str">
        <f ca="1">IF(AD38 = "", AC38 + AC39, IF('Level Principal'!A40="",AC39,""))</f>
        <v/>
      </c>
    </row>
    <row r="40" spans="1:30" hidden="1" x14ac:dyDescent="0.2">
      <c r="B40" s="58"/>
      <c r="D40" s="58"/>
      <c r="E40" s="60"/>
      <c r="F40" s="60"/>
      <c r="G40" s="60"/>
      <c r="H40" s="60"/>
      <c r="I40" s="60"/>
      <c r="J40" s="60"/>
      <c r="K40" s="60"/>
      <c r="L40" s="58"/>
      <c r="M40" s="60"/>
      <c r="N40" s="60"/>
      <c r="O40" s="60"/>
      <c r="R40" s="48">
        <f t="shared" ca="1" si="8"/>
        <v>51075</v>
      </c>
      <c r="S40" s="60">
        <f ca="1">IF(Calculations!I24&gt;1/2,TRUNC(Calculations!F24)+1,TRUNC(Calculations!F24))</f>
        <v>0</v>
      </c>
      <c r="T40" s="58">
        <f>Calculations!B24</f>
        <v>4.3540000000000002E-2</v>
      </c>
      <c r="U40" s="60">
        <f ca="1">ROUND((S40*T40/1+U41*2)/2,2)</f>
        <v>0</v>
      </c>
      <c r="V40" s="60">
        <f t="shared" ca="1" si="6"/>
        <v>0</v>
      </c>
      <c r="W40" s="63">
        <f ca="1">IF(W39 = "", V39 + V40, IF('Level Debt'!A41="",V40,""))</f>
        <v>0</v>
      </c>
      <c r="Y40" s="48">
        <f t="shared" ca="1" si="9"/>
        <v>51075</v>
      </c>
      <c r="Z40" s="60">
        <f ca="1">IF('Level Principal'!A40&lt;&gt;"",LevelPrincipal,0)</f>
        <v>0</v>
      </c>
      <c r="AA40" s="58">
        <f>Calculations!B24</f>
        <v>4.3540000000000002E-2</v>
      </c>
      <c r="AB40" s="60">
        <f ca="1">IF('Level Principal'!A40="",0,ROUND(((AA40*Z40)+AB41*2)/2,2))</f>
        <v>0</v>
      </c>
      <c r="AC40" s="60">
        <f t="shared" ca="1" si="7"/>
        <v>0</v>
      </c>
      <c r="AD40" s="63">
        <f ca="1">IF(AD39 = "", AC39 + AC40, IF('Level Principal'!A41="",AC40,""))</f>
        <v>0</v>
      </c>
    </row>
    <row r="41" spans="1:30" hidden="1" x14ac:dyDescent="0.2">
      <c r="A41" s="46" t="s">
        <v>61</v>
      </c>
      <c r="B41" s="66">
        <f>ROUND(ParAmount/NoYears,2)</f>
        <v>0</v>
      </c>
      <c r="F41" s="60">
        <f ca="1">SUM(F10:F40)</f>
        <v>0</v>
      </c>
      <c r="G41" s="60">
        <f ca="1">SUM(G10:G40)</f>
        <v>0</v>
      </c>
      <c r="J41" s="60">
        <f ca="1">SUM(J10:J40)</f>
        <v>0</v>
      </c>
      <c r="K41" s="60">
        <f ca="1">SUM(K10:K40)</f>
        <v>0</v>
      </c>
      <c r="M41" s="60">
        <f ca="1">SUM(M10:M40)</f>
        <v>66412041.581541575</v>
      </c>
      <c r="N41" s="60">
        <f ca="1">SUM(N10:N40)</f>
        <v>33587958.418458425</v>
      </c>
      <c r="O41" s="60">
        <f ca="1">SUM(O10:O40)</f>
        <v>100000000</v>
      </c>
      <c r="P41" s="60">
        <v>5000000</v>
      </c>
      <c r="R41" s="48">
        <f t="shared" ca="1" si="8"/>
        <v>51257</v>
      </c>
      <c r="U41" s="60">
        <f ca="1">U42</f>
        <v>0</v>
      </c>
      <c r="V41" s="60">
        <f t="shared" ca="1" si="6"/>
        <v>0</v>
      </c>
      <c r="W41" s="63" t="str">
        <f ca="1">IF(W40 = "", V40 + V41, IF('Level Debt'!A42="",V41,""))</f>
        <v/>
      </c>
      <c r="Y41" s="48">
        <f t="shared" ca="1" si="9"/>
        <v>51257</v>
      </c>
      <c r="Z41" s="60"/>
      <c r="AB41" s="60">
        <f ca="1">AB42</f>
        <v>0</v>
      </c>
      <c r="AC41" s="60">
        <f t="shared" ca="1" si="7"/>
        <v>0</v>
      </c>
      <c r="AD41" s="63" t="str">
        <f ca="1">IF(AD40 = "", AC40 + AC41, IF('Level Principal'!A42="",AC41,""))</f>
        <v/>
      </c>
    </row>
    <row r="42" spans="1:30" hidden="1" x14ac:dyDescent="0.2">
      <c r="A42" s="46" t="s">
        <v>62</v>
      </c>
      <c r="B42" s="67">
        <f>ParAmount-PRODUCT(FIXED(LevelPrincipal,2,TRUE),NoYears)</f>
        <v>0</v>
      </c>
      <c r="C42" s="66"/>
      <c r="G42" s="60"/>
      <c r="H42" s="68"/>
      <c r="R42" s="48">
        <f t="shared" ca="1" si="8"/>
        <v>51441</v>
      </c>
      <c r="S42" s="60">
        <f ca="1">IF(Calculations!I25&gt;1/2,TRUNC(Calculations!F25)+1,TRUNC(Calculations!F25))</f>
        <v>0</v>
      </c>
      <c r="T42" s="58">
        <f>Calculations!B25</f>
        <v>4.4970000000000003E-2</v>
      </c>
      <c r="U42" s="60">
        <f ca="1">ROUND((S42*T42/1+U43*2)/2,2)</f>
        <v>0</v>
      </c>
      <c r="V42" s="60">
        <f t="shared" ca="1" si="6"/>
        <v>0</v>
      </c>
      <c r="W42" s="63">
        <f ca="1">IF(W41 = "", V41 + V42, IF('Level Debt'!A43="",V42,""))</f>
        <v>0</v>
      </c>
      <c r="Y42" s="48">
        <f t="shared" ca="1" si="9"/>
        <v>51441</v>
      </c>
      <c r="Z42" s="60">
        <f ca="1">IF('Level Principal'!A42&lt;&gt;"",LevelPrincipal,0)</f>
        <v>0</v>
      </c>
      <c r="AA42" s="58">
        <f>Calculations!B25</f>
        <v>4.4970000000000003E-2</v>
      </c>
      <c r="AB42" s="60">
        <f ca="1">IF('Level Principal'!A42="",0,ROUND(((AA42*Z42)+AB43*2)/2,2))</f>
        <v>0</v>
      </c>
      <c r="AC42" s="60">
        <f t="shared" ca="1" si="7"/>
        <v>0</v>
      </c>
      <c r="AD42" s="63">
        <f ca="1">IF(AD41 = "", AC41 + AC42, IF('Level Principal'!A43="",AC42,""))</f>
        <v>0</v>
      </c>
    </row>
    <row r="43" spans="1:30" hidden="1" x14ac:dyDescent="0.2">
      <c r="B43" s="56"/>
      <c r="C43" s="67"/>
      <c r="G43" s="60"/>
      <c r="K43" s="46">
        <f ca="1">MAX(K10:K40)</f>
        <v>0</v>
      </c>
      <c r="R43" s="48">
        <f t="shared" ca="1" si="8"/>
        <v>51622</v>
      </c>
      <c r="U43" s="60">
        <f ca="1">U44</f>
        <v>0</v>
      </c>
      <c r="V43" s="60">
        <f t="shared" ca="1" si="6"/>
        <v>0</v>
      </c>
      <c r="W43" s="63" t="str">
        <f ca="1">IF(W42 = "", V42 + V43, IF('Level Debt'!A44="",V43,""))</f>
        <v/>
      </c>
      <c r="Y43" s="48">
        <f t="shared" ca="1" si="9"/>
        <v>51622</v>
      </c>
      <c r="Z43" s="60"/>
      <c r="AB43" s="60">
        <f ca="1">AB44</f>
        <v>0</v>
      </c>
      <c r="AC43" s="60">
        <f t="shared" ca="1" si="7"/>
        <v>0</v>
      </c>
      <c r="AD43" s="63" t="str">
        <f ca="1">IF(AD42 = "", AC42 + AC43, IF('Level Principal'!A44="",AC43,""))</f>
        <v/>
      </c>
    </row>
    <row r="44" spans="1:30" hidden="1" x14ac:dyDescent="0.2">
      <c r="A44" s="69" t="s">
        <v>63</v>
      </c>
      <c r="C44" s="46"/>
      <c r="K44" s="46">
        <f ca="1">MIN(K10:K40)</f>
        <v>0</v>
      </c>
      <c r="R44" s="48">
        <f t="shared" ca="1" si="8"/>
        <v>51806</v>
      </c>
      <c r="S44" s="60">
        <f ca="1">IF(Calculations!I26&gt;1/2,TRUNC(Calculations!F26)+1,TRUNC(Calculations!F26))</f>
        <v>0</v>
      </c>
      <c r="T44" s="58">
        <f>Calculations!B26</f>
        <v>4.6260000000000003E-2</v>
      </c>
      <c r="U44" s="60">
        <f ca="1">ROUND((S44*T44/1+U45*2)/2,2)</f>
        <v>0</v>
      </c>
      <c r="V44" s="60">
        <f t="shared" ref="V44:V70" ca="1" si="13">S44+U44</f>
        <v>0</v>
      </c>
      <c r="W44" s="63">
        <f ca="1">IF(W43 = "", V43 + V44, IF('Level Debt'!A45="",V44,""))</f>
        <v>0</v>
      </c>
      <c r="Y44" s="48">
        <f t="shared" ca="1" si="9"/>
        <v>51806</v>
      </c>
      <c r="Z44" s="60">
        <f ca="1">IF('Level Principal'!A44&lt;&gt;"",LevelPrincipal,0)</f>
        <v>0</v>
      </c>
      <c r="AA44" s="58">
        <f>Calculations!B26</f>
        <v>4.6260000000000003E-2</v>
      </c>
      <c r="AB44" s="60">
        <f ca="1">IF('Level Principal'!A44="",0,ROUND(((AA44*Z44)+AB45*2)/2,2))</f>
        <v>0</v>
      </c>
      <c r="AC44" s="60">
        <f t="shared" ref="AC44:AC70" ca="1" si="14">Z44+AB44</f>
        <v>0</v>
      </c>
      <c r="AD44" s="63">
        <f ca="1">IF(AD43 = "", AC43 + AC44, IF('Level Principal'!A45="",AC44,""))</f>
        <v>0</v>
      </c>
    </row>
    <row r="45" spans="1:30" hidden="1" x14ac:dyDescent="0.2">
      <c r="B45" s="47"/>
      <c r="C45" s="56"/>
      <c r="G45" s="46" t="e">
        <f ca="1">Inputs!D13/G41</f>
        <v>#DIV/0!</v>
      </c>
      <c r="K45" s="46">
        <f ca="1">K43-K44</f>
        <v>0</v>
      </c>
      <c r="R45" s="48">
        <f t="shared" ref="R45:R70" ca="1" si="15">DATE(YEAR(R44),MONTH(R44)+6,DAY(R44))</f>
        <v>51987</v>
      </c>
      <c r="U45" s="60">
        <f ca="1">U46</f>
        <v>0</v>
      </c>
      <c r="V45" s="60">
        <f t="shared" ca="1" si="13"/>
        <v>0</v>
      </c>
      <c r="W45" s="63" t="str">
        <f ca="1">IF(W44 = "", V44 + V45, IF('Level Debt'!A46="",V45,""))</f>
        <v/>
      </c>
      <c r="Y45" s="48">
        <f t="shared" ref="Y45:Y70" ca="1" si="16">DATE(YEAR(Y44),MONTH(Y44)+6,DAY(Y44))</f>
        <v>51987</v>
      </c>
      <c r="Z45" s="60"/>
      <c r="AB45" s="60">
        <f ca="1">AB46</f>
        <v>0</v>
      </c>
      <c r="AC45" s="60">
        <f t="shared" ca="1" si="14"/>
        <v>0</v>
      </c>
      <c r="AD45" s="63" t="str">
        <f ca="1">IF(AD44 = "", AC44 + AC45, IF('Level Principal'!A46="",AC45,""))</f>
        <v/>
      </c>
    </row>
    <row r="46" spans="1:30" hidden="1" x14ac:dyDescent="0.2">
      <c r="A46" s="70" t="s">
        <v>6</v>
      </c>
      <c r="C46" s="58"/>
      <c r="G46" s="60">
        <f>'Level Debt'!C72</f>
        <v>0</v>
      </c>
      <c r="R46" s="48">
        <f t="shared" ca="1" si="15"/>
        <v>52171</v>
      </c>
      <c r="S46" s="60">
        <f ca="1">IF(Calculations!I27&gt;1/2,TRUNC(Calculations!F27)+1,TRUNC(Calculations!F27))</f>
        <v>0</v>
      </c>
      <c r="T46" s="58">
        <f>Calculations!B27</f>
        <v>4.6920000000000003E-2</v>
      </c>
      <c r="U46" s="60">
        <f ca="1">ROUND((S46*T46/1+U47*2)/2,2)</f>
        <v>0</v>
      </c>
      <c r="V46" s="60">
        <f t="shared" ca="1" si="13"/>
        <v>0</v>
      </c>
      <c r="W46" s="63">
        <f ca="1">IF(W45 = "", V45 + V46, IF('Level Debt'!A47="",V46,""))</f>
        <v>0</v>
      </c>
      <c r="Y46" s="48">
        <f t="shared" ca="1" si="16"/>
        <v>52171</v>
      </c>
      <c r="Z46" s="60">
        <f ca="1">IF('Level Principal'!A46&lt;&gt;"",LevelPrincipal,0)</f>
        <v>0</v>
      </c>
      <c r="AA46" s="58">
        <f>Calculations!B27</f>
        <v>4.6920000000000003E-2</v>
      </c>
      <c r="AB46" s="60">
        <f ca="1">IF('Level Principal'!A46="",0,ROUND(((AA46*Z46)+AB47*2)/2,2))</f>
        <v>0</v>
      </c>
      <c r="AC46" s="60">
        <f t="shared" ca="1" si="14"/>
        <v>0</v>
      </c>
      <c r="AD46" s="63">
        <f ca="1">IF(AD45 = "", AC45 + AC46, IF('Level Principal'!A47="",AC46,""))</f>
        <v>0</v>
      </c>
    </row>
    <row r="47" spans="1:30" hidden="1" x14ac:dyDescent="0.2">
      <c r="A47" s="47">
        <v>1</v>
      </c>
      <c r="C47" s="58"/>
      <c r="G47" s="60">
        <f ca="1">SUM($G$10:$G$40)</f>
        <v>0</v>
      </c>
      <c r="R47" s="48">
        <f t="shared" ca="1" si="15"/>
        <v>52352</v>
      </c>
      <c r="U47" s="60">
        <f ca="1">U48</f>
        <v>0</v>
      </c>
      <c r="V47" s="60">
        <f t="shared" ca="1" si="13"/>
        <v>0</v>
      </c>
      <c r="W47" s="63" t="str">
        <f ca="1">IF(W46 = "", V46 + V47, IF('Level Debt'!A48="",V47,""))</f>
        <v/>
      </c>
      <c r="Y47" s="48">
        <f t="shared" ca="1" si="16"/>
        <v>52352</v>
      </c>
      <c r="Z47" s="60"/>
      <c r="AB47" s="60">
        <f ca="1">AB48</f>
        <v>0</v>
      </c>
      <c r="AC47" s="60">
        <f t="shared" ca="1" si="14"/>
        <v>0</v>
      </c>
      <c r="AD47" s="63" t="str">
        <f ca="1">IF(AD46 = "", AC46 + AC47, IF('Level Principal'!A48="",AC47,""))</f>
        <v/>
      </c>
    </row>
    <row r="48" spans="1:30" hidden="1" x14ac:dyDescent="0.2">
      <c r="A48" s="47">
        <v>2</v>
      </c>
      <c r="C48" s="58"/>
      <c r="R48" s="48">
        <f t="shared" ca="1" si="15"/>
        <v>52536</v>
      </c>
      <c r="S48" s="60">
        <f ca="1">IF(Calculations!I28&gt;1/2,TRUNC(Calculations!F28)+1,TRUNC(Calculations!F28))</f>
        <v>0</v>
      </c>
      <c r="T48" s="58">
        <f>Calculations!B28</f>
        <v>4.7579999999999997E-2</v>
      </c>
      <c r="U48" s="60">
        <f ca="1">ROUND((S48*T48/1+U49*2)/2,2)</f>
        <v>0</v>
      </c>
      <c r="V48" s="60">
        <f t="shared" ca="1" si="13"/>
        <v>0</v>
      </c>
      <c r="W48" s="63">
        <f ca="1">IF(W47 = "", V47 + V48, IF('Level Debt'!A49="",V48,""))</f>
        <v>0</v>
      </c>
      <c r="Y48" s="48">
        <f t="shared" ca="1" si="16"/>
        <v>52536</v>
      </c>
      <c r="Z48" s="60">
        <f ca="1">IF('Level Principal'!A48&lt;&gt;"",LevelPrincipal,0)</f>
        <v>0</v>
      </c>
      <c r="AA48" s="58">
        <f>Calculations!B28</f>
        <v>4.7579999999999997E-2</v>
      </c>
      <c r="AB48" s="60">
        <f ca="1">IF('Level Principal'!A48="",0,ROUND(((AA48*Z48)+AB49*2)/2,2))</f>
        <v>0</v>
      </c>
      <c r="AC48" s="60">
        <f t="shared" ca="1" si="14"/>
        <v>0</v>
      </c>
      <c r="AD48" s="63">
        <f ca="1">IF(AD47 = "", AC47 + AC48, IF('Level Principal'!A49="",AC48,""))</f>
        <v>0</v>
      </c>
    </row>
    <row r="49" spans="1:30" hidden="1" x14ac:dyDescent="0.2">
      <c r="A49" s="47">
        <v>3</v>
      </c>
      <c r="C49" s="58"/>
      <c r="R49" s="48">
        <f t="shared" ca="1" si="15"/>
        <v>52718</v>
      </c>
      <c r="U49" s="60">
        <f ca="1">U50</f>
        <v>0</v>
      </c>
      <c r="V49" s="60">
        <f t="shared" ca="1" si="13"/>
        <v>0</v>
      </c>
      <c r="W49" s="63" t="str">
        <f ca="1">IF(W48 = "", V48 + V49, IF('Level Debt'!A50="",V49,""))</f>
        <v/>
      </c>
      <c r="Y49" s="48">
        <f t="shared" ca="1" si="16"/>
        <v>52718</v>
      </c>
      <c r="Z49" s="60"/>
      <c r="AB49" s="60">
        <f ca="1">AB50</f>
        <v>0</v>
      </c>
      <c r="AC49" s="60">
        <f t="shared" ca="1" si="14"/>
        <v>0</v>
      </c>
      <c r="AD49" s="63" t="str">
        <f ca="1">IF(AD48 = "", AC48 + AC49, IF('Level Principal'!A50="",AC49,""))</f>
        <v/>
      </c>
    </row>
    <row r="50" spans="1:30" hidden="1" x14ac:dyDescent="0.2">
      <c r="A50" s="47">
        <v>4</v>
      </c>
      <c r="B50" s="56"/>
      <c r="C50" s="58"/>
      <c r="R50" s="48">
        <f t="shared" ca="1" si="15"/>
        <v>52902</v>
      </c>
      <c r="S50" s="60">
        <f ca="1">IF(Calculations!I29&gt;1/2,TRUNC(Calculations!F29)+1,TRUNC(Calculations!F29))</f>
        <v>0</v>
      </c>
      <c r="T50" s="58">
        <f>Calculations!B29</f>
        <v>4.8070000000000002E-2</v>
      </c>
      <c r="U50" s="60">
        <f ca="1">ROUND((S50*T50/1+U51*2)/2,2)</f>
        <v>0</v>
      </c>
      <c r="V50" s="60">
        <f t="shared" ca="1" si="13"/>
        <v>0</v>
      </c>
      <c r="W50" s="63">
        <f ca="1">IF(W49 = "", V49 + V50, IF('Level Debt'!A51="",V50,""))</f>
        <v>0</v>
      </c>
      <c r="Y50" s="48">
        <f t="shared" ca="1" si="16"/>
        <v>52902</v>
      </c>
      <c r="Z50" s="60">
        <f ca="1">IF('Level Principal'!A50&lt;&gt;"",LevelPrincipal,0)</f>
        <v>0</v>
      </c>
      <c r="AA50" s="58">
        <f>Calculations!B29</f>
        <v>4.8070000000000002E-2</v>
      </c>
      <c r="AB50" s="60">
        <f ca="1">IF('Level Principal'!A50="",0,ROUND(((AA50*Z50)+AB51*2)/2,2))</f>
        <v>0</v>
      </c>
      <c r="AC50" s="60">
        <f t="shared" ca="1" si="14"/>
        <v>0</v>
      </c>
      <c r="AD50" s="63">
        <f ca="1">IF(AD49 = "", AC49 + AC50, IF('Level Principal'!A51="",AC50,""))</f>
        <v>0</v>
      </c>
    </row>
    <row r="51" spans="1:30" hidden="1" x14ac:dyDescent="0.2">
      <c r="A51" s="47">
        <v>5</v>
      </c>
      <c r="B51" s="56"/>
      <c r="C51" s="58"/>
      <c r="R51" s="48">
        <f t="shared" ca="1" si="15"/>
        <v>53083</v>
      </c>
      <c r="U51" s="60">
        <f ca="1">U52</f>
        <v>0</v>
      </c>
      <c r="V51" s="60">
        <f t="shared" ca="1" si="13"/>
        <v>0</v>
      </c>
      <c r="W51" s="63">
        <f ca="1">IF(W50 = "", V50 + V51, IF('Level Debt'!A52="",V51,""))</f>
        <v>0</v>
      </c>
      <c r="Y51" s="48">
        <f t="shared" ca="1" si="16"/>
        <v>53083</v>
      </c>
      <c r="Z51" s="60"/>
      <c r="AB51" s="60">
        <f ca="1">AB52</f>
        <v>0</v>
      </c>
      <c r="AC51" s="60">
        <f t="shared" ca="1" si="14"/>
        <v>0</v>
      </c>
      <c r="AD51" s="63">
        <f ca="1">IF(AD50 = "", AC50 + AC51, IF('Level Principal'!A52="",AC51,""))</f>
        <v>0</v>
      </c>
    </row>
    <row r="52" spans="1:30" hidden="1" x14ac:dyDescent="0.2">
      <c r="A52" s="47">
        <v>6</v>
      </c>
      <c r="B52" s="56"/>
      <c r="C52" s="58"/>
      <c r="R52" s="48">
        <f t="shared" ca="1" si="15"/>
        <v>53267</v>
      </c>
      <c r="S52" s="60">
        <f ca="1">IF(Calculations!I30&gt;1/2,TRUNC(Calculations!F30)+1,TRUNC(Calculations!F30))</f>
        <v>0</v>
      </c>
      <c r="T52" s="58">
        <f>Calculations!B30</f>
        <v>4.9000000000000002E-2</v>
      </c>
      <c r="U52" s="60">
        <f ca="1">ROUND((S52*T52/1+U53*2)/2,2)</f>
        <v>0</v>
      </c>
      <c r="V52" s="60">
        <f t="shared" ca="1" si="13"/>
        <v>0</v>
      </c>
      <c r="W52" s="63">
        <f ca="1">IF(W51 = "", V51 + V52, IF('Level Debt'!A53="",V52,""))</f>
        <v>0</v>
      </c>
      <c r="Y52" s="48">
        <f t="shared" ca="1" si="16"/>
        <v>53267</v>
      </c>
      <c r="Z52" s="60">
        <f ca="1">IF('Level Principal'!A52&lt;&gt;"",LevelPrincipal,0)</f>
        <v>0</v>
      </c>
      <c r="AA52" s="58">
        <f>Calculations!B30</f>
        <v>4.9000000000000002E-2</v>
      </c>
      <c r="AB52" s="60">
        <f ca="1">IF('Level Principal'!A52="",0,ROUND(((AA52*Z52)+AB53*2)/2,2))</f>
        <v>0</v>
      </c>
      <c r="AC52" s="60">
        <f t="shared" ca="1" si="14"/>
        <v>0</v>
      </c>
      <c r="AD52" s="63">
        <f ca="1">IF(AD51 = "", AC51 + AC52, IF('Level Principal'!A53="",AC52,""))</f>
        <v>0</v>
      </c>
    </row>
    <row r="53" spans="1:30" hidden="1" x14ac:dyDescent="0.2">
      <c r="A53" s="47">
        <v>7</v>
      </c>
      <c r="B53" s="71"/>
      <c r="C53" s="58"/>
      <c r="R53" s="48">
        <f t="shared" ca="1" si="15"/>
        <v>53448</v>
      </c>
      <c r="U53" s="60">
        <f ca="1">U54</f>
        <v>0</v>
      </c>
      <c r="V53" s="60">
        <f t="shared" ca="1" si="13"/>
        <v>0</v>
      </c>
      <c r="W53" s="63">
        <f ca="1">IF(W52 = "", V52 + V53, IF('Level Debt'!A54="",V53,""))</f>
        <v>0</v>
      </c>
      <c r="Y53" s="48">
        <f t="shared" ca="1" si="16"/>
        <v>53448</v>
      </c>
      <c r="Z53" s="60"/>
      <c r="AB53" s="60">
        <f ca="1">AB54</f>
        <v>0</v>
      </c>
      <c r="AC53" s="60">
        <f t="shared" ca="1" si="14"/>
        <v>0</v>
      </c>
      <c r="AD53" s="63">
        <f ca="1">IF(AD52 = "", AC52 + AC53, IF('Level Principal'!A54="",AC53,""))</f>
        <v>0</v>
      </c>
    </row>
    <row r="54" spans="1:30" hidden="1" x14ac:dyDescent="0.2">
      <c r="A54" s="47">
        <v>8</v>
      </c>
      <c r="B54" s="71"/>
      <c r="C54" s="58"/>
      <c r="R54" s="48">
        <f t="shared" ca="1" si="15"/>
        <v>53632</v>
      </c>
      <c r="S54" s="60">
        <f ca="1">IF(Calculations!I31&gt;1/2,TRUNC(Calculations!F31)+1,TRUNC(Calculations!F31))</f>
        <v>0</v>
      </c>
      <c r="T54" s="58">
        <f>Calculations!B31</f>
        <v>4.9000000000000002E-2</v>
      </c>
      <c r="U54" s="60">
        <f ca="1">ROUND((S54*T54/1+U55*2)/2,2)</f>
        <v>0</v>
      </c>
      <c r="V54" s="60">
        <f t="shared" ca="1" si="13"/>
        <v>0</v>
      </c>
      <c r="W54" s="63">
        <f ca="1">IF(W53 = "", V53 + V54, IF('Level Debt'!A55="",V54,""))</f>
        <v>0</v>
      </c>
      <c r="Y54" s="48">
        <f t="shared" ca="1" si="16"/>
        <v>53632</v>
      </c>
      <c r="Z54" s="60">
        <f ca="1">IF('Level Principal'!A54&lt;&gt;"",LevelPrincipal,0)</f>
        <v>0</v>
      </c>
      <c r="AA54" s="58">
        <f>Calculations!B31</f>
        <v>4.9000000000000002E-2</v>
      </c>
      <c r="AB54" s="60">
        <f ca="1">IF('Level Principal'!A54="",0,ROUND(((AA54*Z54)+AB55*2)/2,2))</f>
        <v>0</v>
      </c>
      <c r="AC54" s="60">
        <f t="shared" ca="1" si="14"/>
        <v>0</v>
      </c>
      <c r="AD54" s="63">
        <f ca="1">IF(AD53 = "", AC53 + AC54, IF('Level Principal'!A55="",AC54,""))</f>
        <v>0</v>
      </c>
    </row>
    <row r="55" spans="1:30" hidden="1" x14ac:dyDescent="0.2">
      <c r="A55" s="47">
        <v>9</v>
      </c>
      <c r="B55" s="71"/>
      <c r="C55" s="58"/>
      <c r="R55" s="48">
        <f t="shared" ca="1" si="15"/>
        <v>53813</v>
      </c>
      <c r="U55" s="60">
        <f ca="1">U56</f>
        <v>0</v>
      </c>
      <c r="V55" s="60">
        <f t="shared" ca="1" si="13"/>
        <v>0</v>
      </c>
      <c r="W55" s="63">
        <f ca="1">IF(W54 = "", V54 + V55, IF('Level Debt'!A56="",V55,""))</f>
        <v>0</v>
      </c>
      <c r="Y55" s="48">
        <f t="shared" ca="1" si="16"/>
        <v>53813</v>
      </c>
      <c r="Z55" s="60"/>
      <c r="AB55" s="60">
        <f ca="1">AB56</f>
        <v>0</v>
      </c>
      <c r="AC55" s="60">
        <f t="shared" ca="1" si="14"/>
        <v>0</v>
      </c>
      <c r="AD55" s="63">
        <f ca="1">IF(AD54 = "", AC54 + AC55, IF('Level Principal'!A56="",AC55,""))</f>
        <v>0</v>
      </c>
    </row>
    <row r="56" spans="1:30" hidden="1" x14ac:dyDescent="0.2">
      <c r="A56" s="47">
        <v>10</v>
      </c>
      <c r="B56" s="56"/>
      <c r="C56" s="58"/>
      <c r="R56" s="48">
        <f t="shared" ca="1" si="15"/>
        <v>53997</v>
      </c>
      <c r="S56" s="60">
        <f ca="1">IF(Calculations!I32&gt;1/2,TRUNC(Calculations!F32)+1,TRUNC(Calculations!F32))</f>
        <v>0</v>
      </c>
      <c r="T56" s="58">
        <f>Calculations!B32</f>
        <v>4.9000000000000002E-2</v>
      </c>
      <c r="U56" s="60">
        <f ca="1">ROUND((S56*T56/1+U57*2)/2,2)</f>
        <v>0</v>
      </c>
      <c r="V56" s="60">
        <f t="shared" ca="1" si="13"/>
        <v>0</v>
      </c>
      <c r="W56" s="63">
        <f ca="1">IF(W55 = "", V55 + V56, IF('Level Debt'!A57="",V56,""))</f>
        <v>0</v>
      </c>
      <c r="Y56" s="48">
        <f t="shared" ca="1" si="16"/>
        <v>53997</v>
      </c>
      <c r="Z56" s="60">
        <f ca="1">IF('Level Principal'!A56&lt;&gt;"",LevelPrincipal,0)</f>
        <v>0</v>
      </c>
      <c r="AA56" s="58">
        <f>Calculations!B32</f>
        <v>4.9000000000000002E-2</v>
      </c>
      <c r="AB56" s="60">
        <f ca="1">IF('Level Principal'!A56="",0,ROUND(((AA56*Z56)+AB57*2)/2,2))</f>
        <v>0</v>
      </c>
      <c r="AC56" s="60">
        <f t="shared" ca="1" si="14"/>
        <v>0</v>
      </c>
      <c r="AD56" s="63">
        <f ca="1">IF(AD55 = "", AC55 + AC56, IF('Level Principal'!A57="",AC56,""))</f>
        <v>0</v>
      </c>
    </row>
    <row r="57" spans="1:30" hidden="1" x14ac:dyDescent="0.2">
      <c r="A57" s="47">
        <v>11</v>
      </c>
      <c r="B57" s="56"/>
      <c r="C57" s="58"/>
      <c r="R57" s="48">
        <f t="shared" ca="1" si="15"/>
        <v>54179</v>
      </c>
      <c r="U57" s="60">
        <f ca="1">U58</f>
        <v>0</v>
      </c>
      <c r="V57" s="60">
        <f t="shared" ca="1" si="13"/>
        <v>0</v>
      </c>
      <c r="W57" s="63">
        <f ca="1">IF(W56 = "", V56 + V57, IF('Level Debt'!A58="",V57,""))</f>
        <v>0</v>
      </c>
      <c r="Y57" s="48">
        <f t="shared" ca="1" si="16"/>
        <v>54179</v>
      </c>
      <c r="Z57" s="60"/>
      <c r="AB57" s="60">
        <f ca="1">AB58</f>
        <v>0</v>
      </c>
      <c r="AC57" s="60">
        <f t="shared" ca="1" si="14"/>
        <v>0</v>
      </c>
      <c r="AD57" s="63">
        <f ca="1">IF(AD56 = "", AC56 + AC57, IF('Level Principal'!A58="",AC57,""))</f>
        <v>0</v>
      </c>
    </row>
    <row r="58" spans="1:30" hidden="1" x14ac:dyDescent="0.2">
      <c r="A58" s="47">
        <v>12</v>
      </c>
      <c r="B58" s="56"/>
      <c r="C58" s="58"/>
      <c r="R58" s="48">
        <f t="shared" ca="1" si="15"/>
        <v>54363</v>
      </c>
      <c r="S58" s="60">
        <f ca="1">IF(Calculations!I33&gt;1/2,TRUNC(Calculations!F33)+1,TRUNC(Calculations!F33))</f>
        <v>0</v>
      </c>
      <c r="T58" s="58">
        <f>Calculations!B33</f>
        <v>4.9000000000000002E-2</v>
      </c>
      <c r="U58" s="60">
        <f ca="1">ROUND((S58*T58/1+U59*2)/2,2)</f>
        <v>0</v>
      </c>
      <c r="V58" s="60">
        <f t="shared" ca="1" si="13"/>
        <v>0</v>
      </c>
      <c r="W58" s="63">
        <f ca="1">IF(W57 = "", V57 + V58, IF('Level Debt'!A59="",V58,""))</f>
        <v>0</v>
      </c>
      <c r="Y58" s="48">
        <f t="shared" ca="1" si="16"/>
        <v>54363</v>
      </c>
      <c r="Z58" s="60">
        <f ca="1">IF('Level Principal'!A58&lt;&gt;"",LevelPrincipal,0)</f>
        <v>0</v>
      </c>
      <c r="AA58" s="58">
        <f>Calculations!B33</f>
        <v>4.9000000000000002E-2</v>
      </c>
      <c r="AB58" s="60">
        <f ca="1">IF('Level Principal'!A58="",0,ROUND(((AA58*Z58)+AB59*2)/2,2))</f>
        <v>0</v>
      </c>
      <c r="AC58" s="60">
        <f t="shared" ca="1" si="14"/>
        <v>0</v>
      </c>
      <c r="AD58" s="63">
        <f ca="1">IF(AD57 = "", AC57 + AC58, IF('Level Principal'!A59="",AC58,""))</f>
        <v>0</v>
      </c>
    </row>
    <row r="59" spans="1:30" hidden="1" x14ac:dyDescent="0.2">
      <c r="A59" s="47">
        <v>13</v>
      </c>
      <c r="B59" s="56"/>
      <c r="C59" s="58"/>
      <c r="R59" s="48">
        <f t="shared" ca="1" si="15"/>
        <v>54544</v>
      </c>
      <c r="U59" s="60">
        <f ca="1">U60</f>
        <v>0</v>
      </c>
      <c r="V59" s="60">
        <f t="shared" ca="1" si="13"/>
        <v>0</v>
      </c>
      <c r="W59" s="63">
        <f ca="1">IF(W58 = "", V58 + V59, IF('Level Debt'!A60="",V59,""))</f>
        <v>0</v>
      </c>
      <c r="Y59" s="48">
        <f t="shared" ca="1" si="16"/>
        <v>54544</v>
      </c>
      <c r="Z59" s="60"/>
      <c r="AB59" s="60">
        <f ca="1">AB60</f>
        <v>0</v>
      </c>
      <c r="AC59" s="60">
        <f t="shared" ca="1" si="14"/>
        <v>0</v>
      </c>
      <c r="AD59" s="63">
        <f ca="1">IF(AD58 = "", AC58 + AC59, IF('Level Principal'!A60="",AC59,""))</f>
        <v>0</v>
      </c>
    </row>
    <row r="60" spans="1:30" hidden="1" x14ac:dyDescent="0.2">
      <c r="A60" s="47">
        <v>14</v>
      </c>
      <c r="B60" s="56"/>
      <c r="C60" s="58"/>
      <c r="R60" s="48">
        <f t="shared" ca="1" si="15"/>
        <v>54728</v>
      </c>
      <c r="S60" s="60">
        <f ca="1">IF(Calculations!I34&gt;1/2,TRUNC(Calculations!F34)+1,TRUNC(Calculations!F34))</f>
        <v>0</v>
      </c>
      <c r="T60" s="58">
        <f>Calculations!B34</f>
        <v>4.8899999999999999E-2</v>
      </c>
      <c r="U60" s="60">
        <f ca="1">ROUND((S60*T60/1+U61*2)/2,2)</f>
        <v>0</v>
      </c>
      <c r="V60" s="60">
        <f t="shared" ca="1" si="13"/>
        <v>0</v>
      </c>
      <c r="W60" s="63">
        <f ca="1">IF(W59 = "", V59 + V60, IF('Level Debt'!A61="",V60,""))</f>
        <v>0</v>
      </c>
      <c r="Y60" s="48">
        <f t="shared" ca="1" si="16"/>
        <v>54728</v>
      </c>
      <c r="Z60" s="60">
        <f ca="1">IF('Level Principal'!A60&lt;&gt;"",LevelPrincipal,0)</f>
        <v>0</v>
      </c>
      <c r="AA60" s="58">
        <f>Calculations!B34</f>
        <v>4.8899999999999999E-2</v>
      </c>
      <c r="AB60" s="60">
        <f ca="1">IF('Level Principal'!A60="",0,ROUND(((AA60*Z60)+AB61*2)/2,2))</f>
        <v>0</v>
      </c>
      <c r="AC60" s="60">
        <f t="shared" ca="1" si="14"/>
        <v>0</v>
      </c>
      <c r="AD60" s="63">
        <f ca="1">IF(AD59 = "", AC59 + AC60, IF('Level Principal'!A61="",AC60,""))</f>
        <v>0</v>
      </c>
    </row>
    <row r="61" spans="1:30" hidden="1" x14ac:dyDescent="0.2">
      <c r="A61" s="47">
        <v>15</v>
      </c>
      <c r="B61" s="56"/>
      <c r="C61" s="58"/>
      <c r="R61" s="48">
        <f t="shared" ca="1" si="15"/>
        <v>54909</v>
      </c>
      <c r="U61" s="60">
        <f ca="1">U62</f>
        <v>0</v>
      </c>
      <c r="V61" s="60">
        <f t="shared" ca="1" si="13"/>
        <v>0</v>
      </c>
      <c r="W61" s="63">
        <f ca="1">IF(W60 = "", V60 + V61, IF('Level Debt'!A62="",V61,""))</f>
        <v>0</v>
      </c>
      <c r="Y61" s="48">
        <f t="shared" ca="1" si="16"/>
        <v>54909</v>
      </c>
      <c r="Z61" s="60"/>
      <c r="AB61" s="60">
        <f ca="1">AB62</f>
        <v>0</v>
      </c>
      <c r="AC61" s="60">
        <f t="shared" ca="1" si="14"/>
        <v>0</v>
      </c>
      <c r="AD61" s="63">
        <f ca="1">IF(AD60 = "", AC60 + AC61, IF('Level Principal'!A62="",AC61,""))</f>
        <v>0</v>
      </c>
    </row>
    <row r="62" spans="1:30" hidden="1" x14ac:dyDescent="0.2">
      <c r="A62" s="47">
        <v>16</v>
      </c>
      <c r="B62" s="56"/>
      <c r="C62" s="58"/>
      <c r="R62" s="48">
        <f t="shared" ca="1" si="15"/>
        <v>55093</v>
      </c>
      <c r="S62" s="60">
        <f ca="1">IF(Calculations!I35&gt;1/2,TRUNC(Calculations!F35)+1,TRUNC(Calculations!F35))</f>
        <v>0</v>
      </c>
      <c r="T62" s="58">
        <f>Calculations!B35</f>
        <v>5.1339999999999997E-2</v>
      </c>
      <c r="U62" s="60">
        <f ca="1">ROUND((S62*T62/1+U63*2)/2,2)</f>
        <v>0</v>
      </c>
      <c r="V62" s="60">
        <f t="shared" ca="1" si="13"/>
        <v>0</v>
      </c>
      <c r="W62" s="63">
        <f ca="1">IF(W61 = "", V61 + V62, IF('Level Debt'!A63="",V62,""))</f>
        <v>0</v>
      </c>
      <c r="Y62" s="48">
        <f t="shared" ca="1" si="16"/>
        <v>55093</v>
      </c>
      <c r="Z62" s="60">
        <f ca="1">IF('Level Principal'!A62&lt;&gt;"",LevelPrincipal,0)</f>
        <v>0</v>
      </c>
      <c r="AA62" s="58">
        <f>Calculations!B35</f>
        <v>5.1339999999999997E-2</v>
      </c>
      <c r="AB62" s="60">
        <f ca="1">IF('Level Principal'!A62="",0,ROUND(((AA62*Z62)+AB63*2)/2,2))</f>
        <v>0</v>
      </c>
      <c r="AC62" s="60">
        <f t="shared" ca="1" si="14"/>
        <v>0</v>
      </c>
      <c r="AD62" s="63">
        <f ca="1">IF(AD61 = "", AC61 + AC62, IF('Level Principal'!A63="",AC62,""))</f>
        <v>0</v>
      </c>
    </row>
    <row r="63" spans="1:30" hidden="1" x14ac:dyDescent="0.2">
      <c r="A63" s="47">
        <v>17</v>
      </c>
      <c r="B63" s="56"/>
      <c r="C63" s="58"/>
      <c r="R63" s="48">
        <f t="shared" ca="1" si="15"/>
        <v>55274</v>
      </c>
      <c r="U63" s="60">
        <f ca="1">U64</f>
        <v>0</v>
      </c>
      <c r="V63" s="60">
        <f t="shared" ca="1" si="13"/>
        <v>0</v>
      </c>
      <c r="W63" s="63">
        <f ca="1">IF(W62 = "", V62 + V63, IF('Level Debt'!A64="",V63,""))</f>
        <v>0</v>
      </c>
      <c r="Y63" s="48">
        <f t="shared" ca="1" si="16"/>
        <v>55274</v>
      </c>
      <c r="Z63" s="60"/>
      <c r="AB63" s="60">
        <f ca="1">AB64</f>
        <v>0</v>
      </c>
      <c r="AC63" s="60">
        <f t="shared" ca="1" si="14"/>
        <v>0</v>
      </c>
      <c r="AD63" s="63">
        <f ca="1">IF(AD62 = "", AC62 + AC63, IF('Level Principal'!A64="",AC63,""))</f>
        <v>0</v>
      </c>
    </row>
    <row r="64" spans="1:30" hidden="1" x14ac:dyDescent="0.2">
      <c r="A64" s="47">
        <v>18</v>
      </c>
      <c r="B64" s="56"/>
      <c r="C64" s="58"/>
      <c r="R64" s="48">
        <f t="shared" ca="1" si="15"/>
        <v>55458</v>
      </c>
      <c r="S64" s="60">
        <f ca="1">IF(Calculations!I36&gt;1/2,TRUNC(Calculations!F36)+1,TRUNC(Calculations!F36))</f>
        <v>0</v>
      </c>
      <c r="T64" s="58">
        <f>Calculations!B36</f>
        <v>5.1339999999999997E-2</v>
      </c>
      <c r="U64" s="60">
        <f ca="1">ROUND((S64*T64/1+U65*2)/2,2)</f>
        <v>0</v>
      </c>
      <c r="V64" s="60">
        <f t="shared" ca="1" si="13"/>
        <v>0</v>
      </c>
      <c r="W64" s="63">
        <f ca="1">IF(W63 = "", V63 + V64, IF('Level Debt'!A65="",V64,""))</f>
        <v>0</v>
      </c>
      <c r="Y64" s="48">
        <f t="shared" ca="1" si="16"/>
        <v>55458</v>
      </c>
      <c r="Z64" s="60">
        <f ca="1">IF('Level Principal'!A64&lt;&gt;"",LevelPrincipal,0)</f>
        <v>0</v>
      </c>
      <c r="AA64" s="58">
        <f>Calculations!B36</f>
        <v>5.1339999999999997E-2</v>
      </c>
      <c r="AB64" s="60">
        <f ca="1">IF('Level Principal'!A64="",0,ROUND(((AA64*Z64)+AB65*2)/2,2))</f>
        <v>0</v>
      </c>
      <c r="AC64" s="60">
        <f t="shared" ca="1" si="14"/>
        <v>0</v>
      </c>
      <c r="AD64" s="63">
        <f ca="1">IF(AD63 = "", AC63 + AC64, IF('Level Principal'!A65="",AC64,""))</f>
        <v>0</v>
      </c>
    </row>
    <row r="65" spans="1:30" hidden="1" x14ac:dyDescent="0.2">
      <c r="A65" s="47">
        <v>19</v>
      </c>
      <c r="B65" s="56"/>
      <c r="C65" s="58"/>
      <c r="R65" s="48">
        <f t="shared" ca="1" si="15"/>
        <v>55640</v>
      </c>
      <c r="U65" s="60">
        <f ca="1">U66</f>
        <v>0</v>
      </c>
      <c r="V65" s="60">
        <f t="shared" ca="1" si="13"/>
        <v>0</v>
      </c>
      <c r="W65" s="63">
        <f ca="1">IF(W64 = "", V64 + V65, IF('Level Debt'!A66="",V65,""))</f>
        <v>0</v>
      </c>
      <c r="Y65" s="48">
        <f t="shared" ca="1" si="16"/>
        <v>55640</v>
      </c>
      <c r="Z65" s="60"/>
      <c r="AB65" s="60">
        <f ca="1">AB66</f>
        <v>0</v>
      </c>
      <c r="AC65" s="60">
        <f t="shared" ca="1" si="14"/>
        <v>0</v>
      </c>
      <c r="AD65" s="63">
        <f ca="1">IF(AD64 = "", AC64 + AC65, IF('Level Principal'!A66="",AC65,""))</f>
        <v>0</v>
      </c>
    </row>
    <row r="66" spans="1:30" hidden="1" x14ac:dyDescent="0.2">
      <c r="A66" s="47">
        <v>20</v>
      </c>
      <c r="B66" s="56"/>
      <c r="C66" s="58"/>
      <c r="R66" s="48">
        <f t="shared" ca="1" si="15"/>
        <v>55824</v>
      </c>
      <c r="S66" s="60">
        <f ca="1">IF(Calculations!I37&gt;1/2,TRUNC(Calculations!F37)+1,TRUNC(Calculations!F37))</f>
        <v>0</v>
      </c>
      <c r="T66" s="58">
        <f>Calculations!B37</f>
        <v>5.1339999999999997E-2</v>
      </c>
      <c r="U66" s="60">
        <f ca="1">ROUND((S66*T66/1+U67*2)/2,2)</f>
        <v>0</v>
      </c>
      <c r="V66" s="60">
        <f t="shared" ca="1" si="13"/>
        <v>0</v>
      </c>
      <c r="W66" s="63">
        <f ca="1">IF(W65 = "", V65 + V66, IF('Level Debt'!A67="",V66,""))</f>
        <v>0</v>
      </c>
      <c r="Y66" s="48">
        <f t="shared" ca="1" si="16"/>
        <v>55824</v>
      </c>
      <c r="Z66" s="60">
        <f ca="1">IF('Level Principal'!A66&lt;&gt;"",LevelPrincipal,0)</f>
        <v>0</v>
      </c>
      <c r="AA66" s="58">
        <f>Calculations!B37</f>
        <v>5.1339999999999997E-2</v>
      </c>
      <c r="AB66" s="60">
        <f ca="1">IF('Level Principal'!A66="",0,ROUND(((AA66*Z66)+AB67*2)/2,2))</f>
        <v>0</v>
      </c>
      <c r="AC66" s="60">
        <f t="shared" ca="1" si="14"/>
        <v>0</v>
      </c>
      <c r="AD66" s="63">
        <f ca="1">IF(AD65 = "", AC65 + AC66, IF('Level Principal'!A67="",AC66,""))</f>
        <v>0</v>
      </c>
    </row>
    <row r="67" spans="1:30" hidden="1" x14ac:dyDescent="0.2">
      <c r="A67" s="47">
        <v>21</v>
      </c>
      <c r="B67" s="56"/>
      <c r="C67" s="58"/>
      <c r="R67" s="48">
        <f t="shared" ca="1" si="15"/>
        <v>56005</v>
      </c>
      <c r="U67" s="60">
        <f ca="1">U68</f>
        <v>0</v>
      </c>
      <c r="V67" s="60">
        <f t="shared" ca="1" si="13"/>
        <v>0</v>
      </c>
      <c r="W67" s="63">
        <f ca="1">IF(W66 = "", V66 + V67, IF('Level Debt'!A68="",V67,""))</f>
        <v>0</v>
      </c>
      <c r="Y67" s="48">
        <f t="shared" ca="1" si="16"/>
        <v>56005</v>
      </c>
      <c r="Z67" s="60"/>
      <c r="AB67" s="60">
        <f ca="1">AB68</f>
        <v>0</v>
      </c>
      <c r="AC67" s="60">
        <f t="shared" ca="1" si="14"/>
        <v>0</v>
      </c>
      <c r="AD67" s="63">
        <f ca="1">IF(AD66 = "", AC66 + AC67, IF('Level Principal'!A68="",AC67,""))</f>
        <v>0</v>
      </c>
    </row>
    <row r="68" spans="1:30" hidden="1" x14ac:dyDescent="0.2">
      <c r="A68" s="47">
        <v>22</v>
      </c>
      <c r="B68" s="56"/>
      <c r="C68" s="58"/>
      <c r="R68" s="48">
        <f t="shared" ca="1" si="15"/>
        <v>56189</v>
      </c>
      <c r="S68" s="60">
        <f ca="1">IF(Calculations!I38&gt;1/2,TRUNC(Calculations!F38)+1,TRUNC(Calculations!F38))</f>
        <v>0</v>
      </c>
      <c r="T68" s="58">
        <f>Calculations!B38</f>
        <v>5.1339999999999997E-2</v>
      </c>
      <c r="U68" s="60">
        <f ca="1">ROUND((S68*T68/1+U69*2)/2,2)</f>
        <v>0</v>
      </c>
      <c r="V68" s="60">
        <f t="shared" ca="1" si="13"/>
        <v>0</v>
      </c>
      <c r="W68" s="63">
        <f ca="1">IF(W67 = "", V67 + V68, IF('Level Debt'!A69="",V68,""))</f>
        <v>0</v>
      </c>
      <c r="Y68" s="48">
        <f t="shared" ca="1" si="16"/>
        <v>56189</v>
      </c>
      <c r="Z68" s="60">
        <f ca="1">IF('Level Principal'!A68&lt;&gt;"",LevelPrincipal,0)</f>
        <v>0</v>
      </c>
      <c r="AA68" s="58">
        <f>Calculations!B38</f>
        <v>5.1339999999999997E-2</v>
      </c>
      <c r="AB68" s="60">
        <f ca="1">IF('Level Principal'!A68="",0,ROUND(((AA68*Z68)+AB69*2)/2,2))</f>
        <v>0</v>
      </c>
      <c r="AC68" s="60">
        <f t="shared" ca="1" si="14"/>
        <v>0</v>
      </c>
      <c r="AD68" s="63">
        <f ca="1">IF(AD67 = "", AC67 + AC68, IF('Level Principal'!A69="",AC68,""))</f>
        <v>0</v>
      </c>
    </row>
    <row r="69" spans="1:30" hidden="1" x14ac:dyDescent="0.2">
      <c r="A69" s="47">
        <v>23</v>
      </c>
      <c r="B69" s="56"/>
      <c r="C69" s="58"/>
      <c r="R69" s="48">
        <f t="shared" ca="1" si="15"/>
        <v>56370</v>
      </c>
      <c r="U69" s="60">
        <f ca="1">U70</f>
        <v>0</v>
      </c>
      <c r="V69" s="60">
        <f t="shared" ca="1" si="13"/>
        <v>0</v>
      </c>
      <c r="W69" s="63">
        <f ca="1">IF(W68 = "", V68 + V69, IF('Level Debt'!A70="",V69,""))</f>
        <v>0</v>
      </c>
      <c r="Y69" s="48">
        <f t="shared" ca="1" si="16"/>
        <v>56370</v>
      </c>
      <c r="Z69" s="60"/>
      <c r="AB69" s="60">
        <f ca="1">AB70</f>
        <v>0</v>
      </c>
      <c r="AC69" s="60">
        <f t="shared" ca="1" si="14"/>
        <v>0</v>
      </c>
      <c r="AD69" s="63">
        <f ca="1">IF(AD68 = "", AC68 + AC69, IF('Level Principal'!A70="",AC69,""))</f>
        <v>0</v>
      </c>
    </row>
    <row r="70" spans="1:30" hidden="1" x14ac:dyDescent="0.2">
      <c r="A70" s="47">
        <v>24</v>
      </c>
      <c r="B70" s="56"/>
      <c r="C70" s="58"/>
      <c r="R70" s="48">
        <f t="shared" ca="1" si="15"/>
        <v>56554</v>
      </c>
      <c r="S70" s="60">
        <f ca="1">IF(Calculations!I39&gt;1/2,TRUNC(Calculations!F39/1)+1,TRUNC(Calculations!F39))</f>
        <v>0</v>
      </c>
      <c r="T70" s="58">
        <f>Calculations!B39</f>
        <v>5.1339999999999997E-2</v>
      </c>
      <c r="U70" s="60">
        <f ca="1">ROUND((S70*T70/1+'Level Debt'!E71*2)/2,2)</f>
        <v>0</v>
      </c>
      <c r="V70" s="60">
        <f t="shared" ca="1" si="13"/>
        <v>0</v>
      </c>
      <c r="W70" s="63">
        <f ca="1">IF(W69 = "", V69 + V70, IF('Level Debt'!A71="",V70,""))</f>
        <v>0</v>
      </c>
      <c r="Y70" s="48">
        <f t="shared" ca="1" si="16"/>
        <v>56554</v>
      </c>
      <c r="Z70" s="60">
        <f ca="1">IF('Level Principal'!A70&lt;&gt;"",LevelPrincipal,0)</f>
        <v>0</v>
      </c>
      <c r="AA70" s="58">
        <f>Calculations!B39</f>
        <v>5.1339999999999997E-2</v>
      </c>
      <c r="AB70" s="60">
        <f ca="1">IF('Level Principal'!A70="",0,ROUND(((AA70*Z70)+'Level Principal'!E71*2)/2,2))</f>
        <v>0</v>
      </c>
      <c r="AC70" s="60">
        <f t="shared" ca="1" si="14"/>
        <v>0</v>
      </c>
      <c r="AD70" s="63">
        <f ca="1">IF(AD69 = "", AC69 + AC70, IF('Level Principal'!A71="",AC70,""))</f>
        <v>0</v>
      </c>
    </row>
    <row r="71" spans="1:30" ht="15.75" hidden="1" x14ac:dyDescent="0.25">
      <c r="A71" s="47">
        <v>25</v>
      </c>
      <c r="B71" s="56"/>
      <c r="C71" s="58"/>
      <c r="Y71" s="55"/>
      <c r="Z71" s="55"/>
      <c r="AA71" s="55"/>
      <c r="AB71" s="55"/>
      <c r="AC71" s="55"/>
      <c r="AD71" s="55"/>
    </row>
    <row r="72" spans="1:30" hidden="1" x14ac:dyDescent="0.2">
      <c r="A72" s="47">
        <v>26</v>
      </c>
      <c r="B72" s="56"/>
      <c r="C72" s="58"/>
    </row>
    <row r="73" spans="1:30" hidden="1" x14ac:dyDescent="0.2">
      <c r="A73" s="47">
        <v>27</v>
      </c>
      <c r="B73" s="56"/>
      <c r="C73" s="58"/>
    </row>
    <row r="74" spans="1:30" hidden="1" x14ac:dyDescent="0.2">
      <c r="A74" s="47">
        <v>28</v>
      </c>
      <c r="B74" s="56"/>
      <c r="C74" s="58"/>
    </row>
    <row r="75" spans="1:30" hidden="1" x14ac:dyDescent="0.2">
      <c r="A75" s="47">
        <v>29</v>
      </c>
      <c r="B75" s="56"/>
      <c r="C75" s="58"/>
    </row>
    <row r="76" spans="1:30" hidden="1" x14ac:dyDescent="0.2">
      <c r="A76" s="47">
        <v>30</v>
      </c>
      <c r="B76" s="56"/>
      <c r="C76" s="56"/>
    </row>
    <row r="77" spans="1:30" hidden="1" x14ac:dyDescent="0.2">
      <c r="B77" s="56"/>
    </row>
    <row r="78" spans="1:30" hidden="1" x14ac:dyDescent="0.2">
      <c r="A78" s="70" t="s">
        <v>7</v>
      </c>
      <c r="B78" s="56"/>
      <c r="C78" s="47"/>
    </row>
    <row r="79" spans="1:30" hidden="1" x14ac:dyDescent="0.2">
      <c r="A79" s="46" t="s">
        <v>64</v>
      </c>
      <c r="B79" s="56"/>
    </row>
    <row r="80" spans="1:30" hidden="1" x14ac:dyDescent="0.2">
      <c r="A80" s="46" t="s">
        <v>8</v>
      </c>
      <c r="B80" s="56"/>
    </row>
    <row r="81" spans="1:3" hidden="1" x14ac:dyDescent="0.2">
      <c r="B81" s="56"/>
    </row>
    <row r="82" spans="1:3" hidden="1" x14ac:dyDescent="0.2">
      <c r="A82" s="70" t="s">
        <v>9</v>
      </c>
      <c r="B82" s="56"/>
    </row>
    <row r="83" spans="1:3" hidden="1" x14ac:dyDescent="0.2">
      <c r="A83" s="72" t="s">
        <v>10</v>
      </c>
      <c r="B83" s="56"/>
      <c r="C83" s="56"/>
    </row>
    <row r="84" spans="1:3" hidden="1" x14ac:dyDescent="0.2">
      <c r="A84" s="68" t="s">
        <v>65</v>
      </c>
      <c r="B84" s="56"/>
      <c r="C84" s="56"/>
    </row>
    <row r="85" spans="1:3" hidden="1" x14ac:dyDescent="0.2">
      <c r="A85" s="68" t="s">
        <v>66</v>
      </c>
      <c r="B85" s="56"/>
      <c r="C85" s="56"/>
    </row>
    <row r="86" spans="1:3" hidden="1" x14ac:dyDescent="0.2">
      <c r="A86" s="68" t="s">
        <v>67</v>
      </c>
      <c r="B86" s="56"/>
      <c r="C86" s="71"/>
    </row>
    <row r="87" spans="1:3" hidden="1" x14ac:dyDescent="0.2">
      <c r="C87" s="71"/>
    </row>
    <row r="88" spans="1:3" hidden="1" x14ac:dyDescent="0.2">
      <c r="C88" s="71"/>
    </row>
    <row r="89" spans="1:3" hidden="1" x14ac:dyDescent="0.2">
      <c r="C89" s="56"/>
    </row>
    <row r="90" spans="1:3" hidden="1" x14ac:dyDescent="0.2">
      <c r="C90" s="56"/>
    </row>
    <row r="91" spans="1:3" hidden="1" x14ac:dyDescent="0.2">
      <c r="C91" s="56"/>
    </row>
    <row r="92" spans="1:3" hidden="1" x14ac:dyDescent="0.2">
      <c r="C92" s="56"/>
    </row>
    <row r="93" spans="1:3" hidden="1" x14ac:dyDescent="0.2">
      <c r="C93" s="56"/>
    </row>
    <row r="94" spans="1:3" hidden="1" x14ac:dyDescent="0.2">
      <c r="C94" s="56"/>
    </row>
    <row r="95" spans="1:3" hidden="1" x14ac:dyDescent="0.2">
      <c r="C95" s="56"/>
    </row>
    <row r="96" spans="1:3" hidden="1" x14ac:dyDescent="0.2">
      <c r="C96" s="56"/>
    </row>
    <row r="97" spans="3:3" hidden="1" x14ac:dyDescent="0.2">
      <c r="C97" s="56"/>
    </row>
    <row r="98" spans="3:3" hidden="1" x14ac:dyDescent="0.2">
      <c r="C98" s="56"/>
    </row>
    <row r="99" spans="3:3" hidden="1" x14ac:dyDescent="0.2">
      <c r="C99" s="56"/>
    </row>
    <row r="100" spans="3:3" hidden="1" x14ac:dyDescent="0.2">
      <c r="C100" s="56"/>
    </row>
    <row r="101" spans="3:3" hidden="1" x14ac:dyDescent="0.2">
      <c r="C101" s="56"/>
    </row>
    <row r="102" spans="3:3" hidden="1" x14ac:dyDescent="0.2">
      <c r="C102" s="56"/>
    </row>
    <row r="103" spans="3:3" hidden="1" x14ac:dyDescent="0.2">
      <c r="C103" s="56"/>
    </row>
    <row r="104" spans="3:3" hidden="1" x14ac:dyDescent="0.2">
      <c r="C104" s="56"/>
    </row>
    <row r="105" spans="3:3" hidden="1" x14ac:dyDescent="0.2">
      <c r="C105" s="56"/>
    </row>
    <row r="106" spans="3:3" hidden="1" x14ac:dyDescent="0.2">
      <c r="C106" s="56"/>
    </row>
    <row r="107" spans="3:3" hidden="1" x14ac:dyDescent="0.2">
      <c r="C107" s="56"/>
    </row>
    <row r="108" spans="3:3" hidden="1" x14ac:dyDescent="0.2">
      <c r="C108" s="56"/>
    </row>
    <row r="109" spans="3:3" hidden="1" x14ac:dyDescent="0.2">
      <c r="C109" s="56"/>
    </row>
    <row r="110" spans="3:3" hidden="1" x14ac:dyDescent="0.2">
      <c r="C110" s="56"/>
    </row>
    <row r="111" spans="3:3" hidden="1" x14ac:dyDescent="0.2">
      <c r="C111" s="56"/>
    </row>
    <row r="112" spans="3:3" hidden="1" x14ac:dyDescent="0.2">
      <c r="C112" s="56"/>
    </row>
    <row r="113" spans="3:3" hidden="1" x14ac:dyDescent="0.2">
      <c r="C113" s="56"/>
    </row>
    <row r="114" spans="3:3" hidden="1" x14ac:dyDescent="0.2">
      <c r="C114" s="56"/>
    </row>
    <row r="115" spans="3:3" hidden="1" x14ac:dyDescent="0.2">
      <c r="C115" s="56"/>
    </row>
    <row r="116" spans="3:3" hidden="1" x14ac:dyDescent="0.2">
      <c r="C116" s="56"/>
    </row>
    <row r="117" spans="3:3" hidden="1" x14ac:dyDescent="0.2">
      <c r="C117" s="56"/>
    </row>
    <row r="118" spans="3:3" hidden="1" x14ac:dyDescent="0.2">
      <c r="C118" s="56"/>
    </row>
    <row r="119" spans="3:3" hidden="1" x14ac:dyDescent="0.2">
      <c r="C119" s="56"/>
    </row>
  </sheetData>
  <sheetProtection algorithmName="SHA-512" hashValue="effp2kyBjAFMZl286dzW0mZD7IVFWBeSzkNfnLiTs05qXL78sCNLzi74MmgvxgDqYPXkWMzJoCfPzeftnFcVLQ==" saltValue="hJowC9t1DwIMH01gbCXKwg==" spinCount="100000" sheet="1" objects="1" scenarios="1" selectLockedCells="1" selectUnlockedCells="1"/>
  <protectedRanges>
    <protectedRange password="9E21" sqref="C46:C75 B10:B40" name="Range1_1"/>
    <protectedRange password="9E21" sqref="B3:B5" name="Range1_1_1"/>
  </protectedRanges>
  <mergeCells count="3">
    <mergeCell ref="R5:W5"/>
    <mergeCell ref="Y5:AD5"/>
    <mergeCell ref="D7:P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11</vt:i4>
      </vt:variant>
    </vt:vector>
  </HeadingPairs>
  <TitlesOfParts>
    <vt:vector size="15" baseType="lpstr">
      <vt:lpstr>Inputs</vt:lpstr>
      <vt:lpstr>Level Debt</vt:lpstr>
      <vt:lpstr>Level Principal</vt:lpstr>
      <vt:lpstr>Calculations</vt:lpstr>
      <vt:lpstr>DatedDate</vt:lpstr>
      <vt:lpstr>FirstCoupon</vt:lpstr>
      <vt:lpstr>FirstMaturity</vt:lpstr>
      <vt:lpstr>Issue</vt:lpstr>
      <vt:lpstr>LastMaturity</vt:lpstr>
      <vt:lpstr>LevelPrincipal</vt:lpstr>
      <vt:lpstr>LevelPrincipalAdj</vt:lpstr>
      <vt:lpstr>NoYears</vt:lpstr>
      <vt:lpstr>ParAmount</vt:lpstr>
      <vt:lpstr>'Level Debt'!Print_Area</vt:lpstr>
      <vt:lpstr>'Level Principal'!Print_Area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Madison Purdy</cp:lastModifiedBy>
  <cp:lastPrinted>2020-12-29T14:18:28Z</cp:lastPrinted>
  <dcterms:created xsi:type="dcterms:W3CDTF">2016-03-18T17:30:02Z</dcterms:created>
  <dcterms:modified xsi:type="dcterms:W3CDTF">2024-05-02T16:42:53Z</dcterms:modified>
</cp:coreProperties>
</file>